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.almeida\Desktop\"/>
    </mc:Choice>
  </mc:AlternateContent>
  <bookViews>
    <workbookView xWindow="0" yWindow="0" windowWidth="16380" windowHeight="8190" tabRatio="500"/>
  </bookViews>
  <sheets>
    <sheet name="Orçamento 2020" sheetId="1" r:id="rId1"/>
    <sheet name="Base" sheetId="2" state="hidden" r:id="rId2"/>
    <sheet name="Mapa DFC" sheetId="3" state="hidden" r:id="rId3"/>
    <sheet name="Notas explicativas" sheetId="4" state="hidden" r:id="rId4"/>
    <sheet name="BP Rev Analítica" sheetId="5" state="hidden" r:id="rId5"/>
    <sheet name="DRE Rev Analítica" sheetId="6" state="hidden" r:id="rId6"/>
    <sheet name="Plan1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 localSheetId="0">[5]ativo!#REF!</definedName>
    <definedName name="\0">[5]ativo!#REF!</definedName>
    <definedName name="\a" localSheetId="0">[5]ativo!#REF!</definedName>
    <definedName name="\a">[5]ativo!#REF!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[5]ativo!#REF!</definedName>
    <definedName name="\p">[5]ativo!#REF!</definedName>
    <definedName name="\s" localSheetId="0">[5]ativo!#REF!</definedName>
    <definedName name="\s">[5]ativo!#REF!</definedName>
    <definedName name="\z" localSheetId="0">#REF!</definedName>
    <definedName name="\z">#REF!</definedName>
    <definedName name="_____bal0196">[3]Plan1!$A$1:$F$238</definedName>
    <definedName name="_____bal0296">[3]Plan1!$A$1:$F$238</definedName>
    <definedName name="_____Bal0497">[3]Plan1!$A$1:$F$517</definedName>
    <definedName name="_____bal1196">[3]Plan1!$A$1:$F$596</definedName>
    <definedName name="_____bdg2000">[3]Plan1!$A$1:$AH$101</definedName>
    <definedName name="_____hsd1" localSheetId="0">'[6]summary information'!#REF!</definedName>
    <definedName name="_____hsd1">'[6]summary information'!#REF!</definedName>
    <definedName name="____bal0196">[3]Plan1!$A$1:$F$238</definedName>
    <definedName name="____bal0296">[3]Plan1!$A$1:$F$238</definedName>
    <definedName name="____Bal0497">[3]Plan1!$A$1:$F$517</definedName>
    <definedName name="____bal1196">[3]Plan1!$A$1:$F$596</definedName>
    <definedName name="____bdg2000">[3]Plan1!$A$1:$AH$101</definedName>
    <definedName name="____hsd1" localSheetId="0">'[6]summary information'!#REF!</definedName>
    <definedName name="____hsd1">'[6]summary information'!#REF!</definedName>
    <definedName name="___bal0196">[3]Plan1!$A$1:$F$238</definedName>
    <definedName name="___bal0296">[3]Plan1!$A$1:$F$238</definedName>
    <definedName name="___Bal0497">[3]Plan1!$A$1:$F$517</definedName>
    <definedName name="___bal1196">[3]Plan1!$A$1:$F$596</definedName>
    <definedName name="___bdg2000">[3]Plan1!$A$1:$AH$101</definedName>
    <definedName name="___hsd1" localSheetId="0">'[6]summary information'!#REF!</definedName>
    <definedName name="___hsd1">'[6]summary information'!#REF!</definedName>
    <definedName name="__bal0196">[3]Plan1!$A$1:$F$238</definedName>
    <definedName name="__bal0296">[3]Plan1!$A$1:$F$238</definedName>
    <definedName name="__Bal0497">[3]Plan1!$A$1:$F$517</definedName>
    <definedName name="__bal1196">[3]Plan1!$A$1:$F$596</definedName>
    <definedName name="__bdg2000">[3]Plan1!$A$1:$AH$101</definedName>
    <definedName name="__hsd1" localSheetId="0">'[6]summary information'!#REF!</definedName>
    <definedName name="__hsd1">'[6]summary information'!#REF!</definedName>
    <definedName name="_001___83" localSheetId="0">#REF!</definedName>
    <definedName name="_001___83">#REF!</definedName>
    <definedName name="_054__90" localSheetId="0">#REF!</definedName>
    <definedName name="_054__90">#REF!</definedName>
    <definedName name="_1" localSheetId="0">#REF!</definedName>
    <definedName name="_1">#REF!</definedName>
    <definedName name="_1_US">"Dolar Exchange"</definedName>
    <definedName name="_10" localSheetId="0">#REF!</definedName>
    <definedName name="_10">#REF!</definedName>
    <definedName name="_10A" localSheetId="0">#REF!</definedName>
    <definedName name="_10A">#REF!</definedName>
    <definedName name="_11" localSheetId="0">#REF!</definedName>
    <definedName name="_11">#REF!</definedName>
    <definedName name="_11A" localSheetId="0">#REF!</definedName>
    <definedName name="_11A">#REF!</definedName>
    <definedName name="_12" localSheetId="0">#REF!</definedName>
    <definedName name="_12">#REF!</definedName>
    <definedName name="_12A" localSheetId="0">#REF!</definedName>
    <definedName name="_12A">#REF!</definedName>
    <definedName name="_1A" localSheetId="0">#REF!</definedName>
    <definedName name="_1A">#REF!</definedName>
    <definedName name="_2" localSheetId="0">#REF!</definedName>
    <definedName name="_2">#REF!</definedName>
    <definedName name="_2A" localSheetId="0">#REF!</definedName>
    <definedName name="_2A">#REF!</definedName>
    <definedName name="_3" localSheetId="0">#REF!</definedName>
    <definedName name="_3">#REF!</definedName>
    <definedName name="_3A" localSheetId="0">#REF!</definedName>
    <definedName name="_3A">#REF!</definedName>
    <definedName name="_4" localSheetId="0">#REF!</definedName>
    <definedName name="_4">#REF!</definedName>
    <definedName name="_4A" localSheetId="0">#REF!</definedName>
    <definedName name="_4A">#REF!</definedName>
    <definedName name="_5" localSheetId="0">#REF!</definedName>
    <definedName name="_5">#REF!</definedName>
    <definedName name="_5A" localSheetId="0">#REF!</definedName>
    <definedName name="_5A">#REF!</definedName>
    <definedName name="_6" localSheetId="0">#REF!</definedName>
    <definedName name="_6">#REF!</definedName>
    <definedName name="_6A" localSheetId="0">#REF!</definedName>
    <definedName name="_6A">#REF!</definedName>
    <definedName name="_7" localSheetId="0">#REF!</definedName>
    <definedName name="_7">#REF!</definedName>
    <definedName name="_7A" localSheetId="0">#REF!</definedName>
    <definedName name="_7A">#REF!</definedName>
    <definedName name="_8" localSheetId="0">#REF!</definedName>
    <definedName name="_8">#REF!</definedName>
    <definedName name="_8200" localSheetId="0">#REF!</definedName>
    <definedName name="_8200">#REF!</definedName>
    <definedName name="_8A" localSheetId="0">#REF!</definedName>
    <definedName name="_8A">#REF!</definedName>
    <definedName name="_9" localSheetId="0">#REF!</definedName>
    <definedName name="_9">#REF!</definedName>
    <definedName name="_9A" localSheetId="0">#REF!</definedName>
    <definedName name="_9A">#REF!</definedName>
    <definedName name="_bal0196">[3]Plan1!$A$1:$F$238</definedName>
    <definedName name="_bal0296">[3]Plan1!$A$1:$F$238</definedName>
    <definedName name="_Bal0497">[3]Plan1!$A$1:$F$517</definedName>
    <definedName name="_bal1196">[3]Plan1!$A$1:$F$596</definedName>
    <definedName name="_bdg2000">[3]Plan1!$A$1:$AH$101</definedName>
    <definedName name="_CIS1" localSheetId="0">#REF!</definedName>
    <definedName name="_CIS1">#REF!</definedName>
    <definedName name="_CIS10" localSheetId="0">#REF!</definedName>
    <definedName name="_CIS10">#REF!</definedName>
    <definedName name="_CIS11" localSheetId="0">#REF!</definedName>
    <definedName name="_CIS11">#REF!</definedName>
    <definedName name="_CIS12" localSheetId="0">#REF!</definedName>
    <definedName name="_CIS12">#REF!</definedName>
    <definedName name="_CIS2" localSheetId="0">#REF!</definedName>
    <definedName name="_CIS2">#REF!</definedName>
    <definedName name="_CIS3" localSheetId="0">#REF!</definedName>
    <definedName name="_CIS3">#REF!</definedName>
    <definedName name="_CIS4" localSheetId="0">#REF!</definedName>
    <definedName name="_CIS4">#REF!</definedName>
    <definedName name="_CIS5" localSheetId="0">#REF!</definedName>
    <definedName name="_CIS5">#REF!</definedName>
    <definedName name="_CIS6" localSheetId="0">#REF!</definedName>
    <definedName name="_CIS6">#REF!</definedName>
    <definedName name="_CIS7" localSheetId="0">#REF!</definedName>
    <definedName name="_CIS7">#REF!</definedName>
    <definedName name="_CIS8" localSheetId="0">#REF!</definedName>
    <definedName name="_CIS8">#REF!</definedName>
    <definedName name="_CIS9" localSheetId="0">#REF!</definedName>
    <definedName name="_CIS9">#REF!</definedName>
    <definedName name="_EST1" localSheetId="0">#REF!</definedName>
    <definedName name="_EST1">#REF!</definedName>
    <definedName name="_EST10" localSheetId="0">#REF!</definedName>
    <definedName name="_EST10">#REF!</definedName>
    <definedName name="_EST11" localSheetId="0">#REF!</definedName>
    <definedName name="_EST11">#REF!</definedName>
    <definedName name="_EST12" localSheetId="0">#REF!</definedName>
    <definedName name="_EST12">#REF!</definedName>
    <definedName name="_EST2" localSheetId="0">#REF!</definedName>
    <definedName name="_EST2">#REF!</definedName>
    <definedName name="_EST3" localSheetId="0">#REF!</definedName>
    <definedName name="_EST3">#REF!</definedName>
    <definedName name="_EST4" localSheetId="0">#REF!</definedName>
    <definedName name="_EST4">#REF!</definedName>
    <definedName name="_EST5" localSheetId="0">#REF!</definedName>
    <definedName name="_EST5">#REF!</definedName>
    <definedName name="_EST6" localSheetId="0">#REF!</definedName>
    <definedName name="_EST6">#REF!</definedName>
    <definedName name="_EST7" localSheetId="0">#REF!</definedName>
    <definedName name="_EST7">#REF!</definedName>
    <definedName name="_EST8" localSheetId="0">#REF!</definedName>
    <definedName name="_EST8">#REF!</definedName>
    <definedName name="_EST9" localSheetId="0">#REF!</definedName>
    <definedName name="_EST9">#REF!</definedName>
    <definedName name="_Fill" localSheetId="0">#REF!</definedName>
    <definedName name="_Fill">#REF!</definedName>
    <definedName name="_FilterDatabase_0" localSheetId="1">Base!$D$4:$Q$749</definedName>
    <definedName name="_FilterDatabase_0_0" localSheetId="1">Base!$D$4:$Q$749</definedName>
    <definedName name="_xlnm._FilterDatabase" localSheetId="1">Base!$D$4:$Q$749</definedName>
    <definedName name="_GPS1" localSheetId="0">#REF!</definedName>
    <definedName name="_GPS1">#REF!</definedName>
    <definedName name="_GPS10" localSheetId="0">#REF!</definedName>
    <definedName name="_GPS10">#REF!</definedName>
    <definedName name="_GPS11" localSheetId="0">#REF!</definedName>
    <definedName name="_GPS11">#REF!</definedName>
    <definedName name="_GPS12" localSheetId="0">#REF!</definedName>
    <definedName name="_GPS12">#REF!</definedName>
    <definedName name="_GPS2" localSheetId="0">#REF!</definedName>
    <definedName name="_GPS2">#REF!</definedName>
    <definedName name="_GPS3" localSheetId="0">#REF!</definedName>
    <definedName name="_GPS3">#REF!</definedName>
    <definedName name="_GPS4" localSheetId="0">#REF!</definedName>
    <definedName name="_GPS4">#REF!</definedName>
    <definedName name="_GPS5" localSheetId="0">#REF!</definedName>
    <definedName name="_GPS5">#REF!</definedName>
    <definedName name="_GPS6" localSheetId="0">#REF!</definedName>
    <definedName name="_GPS6">#REF!</definedName>
    <definedName name="_GPS7" localSheetId="0">#REF!</definedName>
    <definedName name="_GPS7">#REF!</definedName>
    <definedName name="_GPS8" localSheetId="0">#REF!</definedName>
    <definedName name="_GPS8">#REF!</definedName>
    <definedName name="_GPS9" localSheetId="0">#REF!</definedName>
    <definedName name="_GPS9">#REF!</definedName>
    <definedName name="_hsd1" localSheetId="0">'[6]summary information'!#REF!</definedName>
    <definedName name="_hsd1">'[6]summary information'!#REF!</definedName>
    <definedName name="_l">[4]links!$G$1:#REF!</definedName>
    <definedName name="_LI8200" localSheetId="0">#REF!</definedName>
    <definedName name="_LI8200">#REF!</definedName>
    <definedName name="_LSS1" localSheetId="0">#REF!</definedName>
    <definedName name="_LSS1">#REF!</definedName>
    <definedName name="_LSS10" localSheetId="0">#REF!</definedName>
    <definedName name="_LSS10">#REF!</definedName>
    <definedName name="_LSS11" localSheetId="0">#REF!</definedName>
    <definedName name="_LSS11">#REF!</definedName>
    <definedName name="_LSS12" localSheetId="0">#REF!</definedName>
    <definedName name="_LSS12">#REF!</definedName>
    <definedName name="_LSS2" localSheetId="0">#REF!</definedName>
    <definedName name="_LSS2">#REF!</definedName>
    <definedName name="_LSS3" localSheetId="0">#REF!</definedName>
    <definedName name="_LSS3">#REF!</definedName>
    <definedName name="_LSS4" localSheetId="0">#REF!</definedName>
    <definedName name="_LSS4">#REF!</definedName>
    <definedName name="_LSS5" localSheetId="0">#REF!</definedName>
    <definedName name="_LSS5">#REF!</definedName>
    <definedName name="_LSS6" localSheetId="0">#REF!</definedName>
    <definedName name="_LSS6">#REF!</definedName>
    <definedName name="_LSS7" localSheetId="0">#REF!</definedName>
    <definedName name="_LSS7">#REF!</definedName>
    <definedName name="_LSS8" localSheetId="0">#REF!</definedName>
    <definedName name="_LSS8">#REF!</definedName>
    <definedName name="_LSS9" localSheetId="0">#REF!</definedName>
    <definedName name="_LSS9">#REF!</definedName>
    <definedName name="_MEN1" localSheetId="0">#REF!</definedName>
    <definedName name="_MEN1">#REF!</definedName>
    <definedName name="_MEN2" localSheetId="0">#REF!</definedName>
    <definedName name="_MEN2">#REF!</definedName>
    <definedName name="_MEN3" localSheetId="0">#REF!</definedName>
    <definedName name="_MEN3">#REF!</definedName>
    <definedName name="_MEN4" localSheetId="0">#REF!</definedName>
    <definedName name="_MEN4">#REF!</definedName>
    <definedName name="_MEN5" localSheetId="0">#REF!</definedName>
    <definedName name="_MEN5">#REF!</definedName>
    <definedName name="_Nov98">[4]Taxas!$B$5</definedName>
    <definedName name="_Parse_In" localSheetId="0">#REF!</definedName>
    <definedName name="_Parse_In">#REF!</definedName>
    <definedName name="_Parse_Out" localSheetId="0">#REF!</definedName>
    <definedName name="_Parse_Out">#REF!</definedName>
    <definedName name="_RE1" localSheetId="0">#REF!</definedName>
    <definedName name="_RE1">#REF!</definedName>
    <definedName name="_RE10" localSheetId="0">#REF!</definedName>
    <definedName name="_RE10">#REF!</definedName>
    <definedName name="_RE11" localSheetId="0">#REF!</definedName>
    <definedName name="_RE11">#REF!</definedName>
    <definedName name="_RE12" localSheetId="0">#REF!</definedName>
    <definedName name="_RE12">#REF!</definedName>
    <definedName name="_RE2" localSheetId="0">#REF!</definedName>
    <definedName name="_RE2">#REF!</definedName>
    <definedName name="_RE3" localSheetId="0">#REF!</definedName>
    <definedName name="_RE3">#REF!</definedName>
    <definedName name="_RE4" localSheetId="0">#REF!</definedName>
    <definedName name="_RE4">#REF!</definedName>
    <definedName name="_RE5" localSheetId="0">#REF!</definedName>
    <definedName name="_RE5">#REF!</definedName>
    <definedName name="_RE6" localSheetId="0">#REF!</definedName>
    <definedName name="_RE6">#REF!</definedName>
    <definedName name="_RE7" localSheetId="0">#REF!</definedName>
    <definedName name="_RE7">#REF!</definedName>
    <definedName name="_RE8" localSheetId="0">#REF!</definedName>
    <definedName name="_RE8">#REF!</definedName>
    <definedName name="_RE9" localSheetId="0">#REF!</definedName>
    <definedName name="_RE9">#REF!</definedName>
    <definedName name="_ROT1" localSheetId="0">#REF!</definedName>
    <definedName name="_ROT1">#REF!</definedName>
    <definedName name="_ROT2" localSheetId="0">#REF!</definedName>
    <definedName name="_ROT2">#REF!</definedName>
    <definedName name="_ROT3" localSheetId="0">#REF!</definedName>
    <definedName name="_ROT3">#REF!</definedName>
    <definedName name="_ROT4" localSheetId="0">#REF!</definedName>
    <definedName name="_ROT4">#REF!</definedName>
    <definedName name="_ROT5" localSheetId="0">#REF!</definedName>
    <definedName name="_ROT5">#REF!</definedName>
    <definedName name="_ROT6" localSheetId="0">#REF!</definedName>
    <definedName name="_ROT6">#REF!</definedName>
    <definedName name="_TRC92" localSheetId="0">#REF!</definedName>
    <definedName name="_TRC92">#REF!</definedName>
    <definedName name="_TRC93" localSheetId="0">#REF!</definedName>
    <definedName name="_TRC93">#REF!</definedName>
    <definedName name="_TRC94" localSheetId="0">#REF!</definedName>
    <definedName name="_TRC94">#REF!</definedName>
    <definedName name="_TRC95" localSheetId="0">#REF!</definedName>
    <definedName name="_TRC95">#REF!</definedName>
    <definedName name="_TRC96" localSheetId="0">#REF!</definedName>
    <definedName name="_TRC96">#REF!</definedName>
    <definedName name="_TSU91" localSheetId="0">#REF!</definedName>
    <definedName name="_TSU91">#REF!</definedName>
    <definedName name="_TSU92" localSheetId="0">#REF!</definedName>
    <definedName name="_TSU92">#REF!</definedName>
    <definedName name="_TSU93" localSheetId="0">#REF!</definedName>
    <definedName name="_TSU93">#REF!</definedName>
    <definedName name="_TSU94" localSheetId="0">#REF!</definedName>
    <definedName name="_TSU94">#REF!</definedName>
    <definedName name="_TSU95" localSheetId="0">#REF!</definedName>
    <definedName name="_TSU95">#REF!</definedName>
    <definedName name="_TSU96" localSheetId="0">#REF!</definedName>
    <definedName name="_TSU96">#REF!</definedName>
    <definedName name="_TTF92" localSheetId="0">#REF!</definedName>
    <definedName name="_TTF92">#REF!</definedName>
    <definedName name="_TTF93" localSheetId="0">#REF!</definedName>
    <definedName name="_TTF93">#REF!</definedName>
    <definedName name="_TTF94" localSheetId="0">#REF!</definedName>
    <definedName name="_TTF94">#REF!</definedName>
    <definedName name="_TTF95" localSheetId="0">#REF!</definedName>
    <definedName name="_TTF95">#REF!</definedName>
    <definedName name="_TTF96" localSheetId="0">#REF!</definedName>
    <definedName name="_TTF96">#REF!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Á470" localSheetId="0">#REF!</definedName>
    <definedName name="Á470">#REF!</definedName>
    <definedName name="AA" localSheetId="0">#REF!</definedName>
    <definedName name="AA">#REF!</definedName>
    <definedName name="AA_1" localSheetId="0">#REF!</definedName>
    <definedName name="AA_1">#REF!</definedName>
    <definedName name="AAA" localSheetId="0">#REF!</definedName>
    <definedName name="AAA">#REF!</definedName>
    <definedName name="ABR" localSheetId="0">#REF!</definedName>
    <definedName name="ABR">#REF!</definedName>
    <definedName name="Account_Balance" localSheetId="0">#REF!</definedName>
    <definedName name="Account_Balance">#REF!</definedName>
    <definedName name="ACUMULADO" localSheetId="0">#REF!</definedName>
    <definedName name="ACUMULADO">#REF!</definedName>
    <definedName name="ada">'[1]Ativo e Passivo'!$F$9</definedName>
    <definedName name="add">'[1]Ativo e Passivo'!$F$19</definedName>
    <definedName name="ADICOES" localSheetId="0">#REF!</definedName>
    <definedName name="ADICOES">#REF!</definedName>
    <definedName name="ADTOCLIENTES" localSheetId="0">#REF!</definedName>
    <definedName name="ADTOCLIENTES">#REF!</definedName>
    <definedName name="agcred">'[2]CALC-RESUMO'!$AS$3:$AV$34</definedName>
    <definedName name="AGO" localSheetId="0">#REF!</definedName>
    <definedName name="AGO">#REF!</definedName>
    <definedName name="AJUSTE" localSheetId="0">#REF!</definedName>
    <definedName name="AJUSTE">#REF!</definedName>
    <definedName name="ajuste98" localSheetId="0">#REF!</definedName>
    <definedName name="ajuste98">#REF!</definedName>
    <definedName name="AJUSTES" localSheetId="0">#REF!</definedName>
    <definedName name="AJUSTES">#REF!</definedName>
    <definedName name="Amortização" localSheetId="0">#REF!</definedName>
    <definedName name="Amortização">#REF!</definedName>
    <definedName name="Analdolar" localSheetId="0">#REF!</definedName>
    <definedName name="Analdolar">#REF!</definedName>
    <definedName name="analreal" localSheetId="0">#REF!</definedName>
    <definedName name="analreal">#REF!</definedName>
    <definedName name="ANTECIPADAS" localSheetId="0">#REF!</definedName>
    <definedName name="ANTECIPADAS">#REF!</definedName>
    <definedName name="APLICAÇ_ES" localSheetId="0">#REF!</definedName>
    <definedName name="APLICAÇ_ES">#REF!</definedName>
    <definedName name="APLICAÇÕES" localSheetId="0">#REF!</definedName>
    <definedName name="APLICAÇÕES">#REF!</definedName>
    <definedName name="Aportes_Através_das_Aplicações_Financeiras" localSheetId="0">#REF!</definedName>
    <definedName name="Aportes_Através_das_Aplicações_Financeiras">#REF!</definedName>
    <definedName name="_xlnm.Extract" localSheetId="0">#REF!</definedName>
    <definedName name="_xlnm.Extract">#REF!</definedName>
    <definedName name="_xlnm.Print_Area" localSheetId="4">'BP Rev Analítica'!$A$1:$AA$61</definedName>
    <definedName name="_xlnm.Print_Area" localSheetId="5">'DRE Rev Analítica'!$A$1:$M$59</definedName>
    <definedName name="_xlnm.Print_Area">#REF!</definedName>
    <definedName name="AS2DocOpenMode">"AS2DocumentEdit"</definedName>
    <definedName name="AS2NamedRange">16</definedName>
    <definedName name="AS2ReportLS">1</definedName>
    <definedName name="AS2StaticLS" localSheetId="0">#REF!</definedName>
    <definedName name="AS2StaticLS">#REF!</definedName>
    <definedName name="AS2SyncStepLS">0</definedName>
    <definedName name="AS2TickmarkLS" localSheetId="0">#REF!</definedName>
    <definedName name="AS2TickmarkLS">#REF!</definedName>
    <definedName name="AS2VersionLS">300</definedName>
    <definedName name="asd" localSheetId="0">'[2]ativo e passivo'!#REF!</definedName>
    <definedName name="asd">'[2]ativo e passivo'!#REF!</definedName>
    <definedName name="asf" localSheetId="0">#REF!</definedName>
    <definedName name="asf">#REF!</definedName>
    <definedName name="ASS">{"'COMBUSTÍVEIS'!$A$1:$K$88"}</definedName>
    <definedName name="atento">'[2]CALC-RESUMO'!$R$6:$T$37</definedName>
    <definedName name="ATIVO" localSheetId="0">#REF!</definedName>
    <definedName name="ATIVO">#REF!</definedName>
    <definedName name="AUMCAPITAL" localSheetId="0">#REF!</definedName>
    <definedName name="AUMCAPITAL">#REF!</definedName>
    <definedName name="B" localSheetId="0">#REF!</definedName>
    <definedName name="B">#REF!</definedName>
    <definedName name="BALANCO" localSheetId="0">#REF!</definedName>
    <definedName name="BALANCO">#REF!</definedName>
    <definedName name="Balanço" localSheetId="0">#REF!</definedName>
    <definedName name="Balanço">#REF!</definedName>
    <definedName name="BALCMI" localSheetId="0">#REF!</definedName>
    <definedName name="BALCMI">#REF!</definedName>
    <definedName name="baldat01">[3]Plan1!$A$1:$G$500</definedName>
    <definedName name="BALPUBL" localSheetId="0">#REF!</definedName>
    <definedName name="BALPUBL">#REF!</definedName>
    <definedName name="BANCO" localSheetId="0">#REF!</definedName>
    <definedName name="BANCO">#REF!</definedName>
    <definedName name="_xlnm.Database" localSheetId="0">#REF!</definedName>
    <definedName name="_xlnm.Database">#REF!</definedName>
    <definedName name="BANCOS" localSheetId="0">#REF!</definedName>
    <definedName name="BANCOS">#REF!</definedName>
    <definedName name="BB" localSheetId="0">#REF!</definedName>
    <definedName name="BB">#REF!</definedName>
    <definedName name="BBB" localSheetId="0">#REF!</definedName>
    <definedName name="BBB">#REF!</definedName>
    <definedName name="BC_D_PI" localSheetId="0">#REF!</definedName>
    <definedName name="BC_D_PI">#REF!</definedName>
    <definedName name="BC_T_PI" localSheetId="0">#REF!</definedName>
    <definedName name="BC_T_PI">#REF!</definedName>
    <definedName name="betsy" localSheetId="0">#REF!</definedName>
    <definedName name="betsy">#REF!</definedName>
    <definedName name="BG_Del">15</definedName>
    <definedName name="BG_Ins">4</definedName>
    <definedName name="BG_Mod">6</definedName>
    <definedName name="BL_D_PF" localSheetId="0">#REF!</definedName>
    <definedName name="BL_D_PF">#REF!</definedName>
    <definedName name="BL_D_PI" localSheetId="0">#REF!</definedName>
    <definedName name="BL_D_PI">#REF!</definedName>
    <definedName name="BL_D_PP" localSheetId="0">#REF!</definedName>
    <definedName name="BL_D_PP">#REF!</definedName>
    <definedName name="BL_T_PF" localSheetId="0">#REF!</definedName>
    <definedName name="BL_T_PF">#REF!</definedName>
    <definedName name="BL_T_PI" localSheetId="0">#REF!</definedName>
    <definedName name="BL_T_PI">#REF!</definedName>
    <definedName name="BL_T_PP" localSheetId="0">#REF!</definedName>
    <definedName name="BL_T_PP">#REF!</definedName>
    <definedName name="BORDA" localSheetId="0">#REF!</definedName>
    <definedName name="BORDA">#REF!</definedName>
    <definedName name="BORDA1" localSheetId="0">#REF!</definedName>
    <definedName name="BORDA1">#REF!</definedName>
    <definedName name="BORDA4" localSheetId="0">#REF!</definedName>
    <definedName name="BORDA4">#REF!</definedName>
    <definedName name="BOTH" localSheetId="0">#REF!</definedName>
    <definedName name="BOTH">#REF!</definedName>
    <definedName name="BR_D_PI" localSheetId="0">#REF!</definedName>
    <definedName name="BR_D_PI">#REF!</definedName>
    <definedName name="BR_T_PI" localSheetId="0">#REF!</definedName>
    <definedName name="BR_T_PI">#REF!</definedName>
    <definedName name="BT_D_PI" localSheetId="0">#REF!</definedName>
    <definedName name="BT_D_PI">#REF!</definedName>
    <definedName name="BT_D_PP" localSheetId="0">#REF!</definedName>
    <definedName name="BT_D_PP">#REF!</definedName>
    <definedName name="BT_T_PI" localSheetId="0">#REF!</definedName>
    <definedName name="BT_T_PI">#REF!</definedName>
    <definedName name="BT_T_PP" localSheetId="0">#REF!</definedName>
    <definedName name="BT_T_PP">#REF!</definedName>
    <definedName name="C." localSheetId="0">#REF!</definedName>
    <definedName name="C.">#REF!</definedName>
    <definedName name="C.M." localSheetId="0">#REF!</definedName>
    <definedName name="C.M.">#REF!</definedName>
    <definedName name="C.SOCIAL" localSheetId="0">#REF!</definedName>
    <definedName name="C.SOCIAL">#REF!</definedName>
    <definedName name="CAB" localSheetId="0">#REF!</definedName>
    <definedName name="CAB">#REF!</definedName>
    <definedName name="CAIXA" localSheetId="0">#REF!</definedName>
    <definedName name="CAIXA">#REF!</definedName>
    <definedName name="Caixaemp" localSheetId="0">#REF!</definedName>
    <definedName name="Caixaemp">#REF!</definedName>
    <definedName name="Caixaop" localSheetId="0">#REF!</definedName>
    <definedName name="Caixaop">#REF!</definedName>
    <definedName name="Caixapr" localSheetId="0">#REF!</definedName>
    <definedName name="Caixapr">#REF!</definedName>
    <definedName name="Cálculo_do_Capital_Operacional" localSheetId="0">#REF!</definedName>
    <definedName name="Cálculo_do_Capital_Operacional">#REF!</definedName>
    <definedName name="Cálculos_do_Congelado" localSheetId="0">#REF!</definedName>
    <definedName name="Cálculos_do_Congelado">#REF!</definedName>
    <definedName name="Cálculos_Intermediários" localSheetId="0">#REF!</definedName>
    <definedName name="Cálculos_Intermediários">#REF!</definedName>
    <definedName name="CAP" localSheetId="0">#REF!</definedName>
    <definedName name="CAP">#REF!</definedName>
    <definedName name="capacifosp" localSheetId="0">#REF!</definedName>
    <definedName name="capacifosp">#REF!</definedName>
    <definedName name="CAPCOLIG" localSheetId="0">#REF!</definedName>
    <definedName name="CAPCOLIG">#REF!</definedName>
    <definedName name="capformolba" localSheetId="0">#REF!</definedName>
    <definedName name="capformolba">#REF!</definedName>
    <definedName name="capformolsp" localSheetId="0">#REF!</definedName>
    <definedName name="capformolsp">#REF!</definedName>
    <definedName name="caphexa" localSheetId="0">#REF!</definedName>
    <definedName name="caphexa">#REF!</definedName>
    <definedName name="cappentaba" localSheetId="0">#REF!</definedName>
    <definedName name="cappentaba">#REF!</definedName>
    <definedName name="cappentasp" localSheetId="0">#REF!</definedName>
    <definedName name="cappentasp">#REF!</definedName>
    <definedName name="cappoliolSP" localSheetId="0">#REF!</definedName>
    <definedName name="cappoliolSP">#REF!</definedName>
    <definedName name="CC" localSheetId="0">#REF!</definedName>
    <definedName name="CC">#REF!</definedName>
    <definedName name="CCC" localSheetId="0">#REF!</definedName>
    <definedName name="CCC">#REF!</definedName>
    <definedName name="CCI" localSheetId="0">#REF!</definedName>
    <definedName name="CCI">#REF!</definedName>
    <definedName name="celpe">'[2]CALC-RESUMO'!$J$6:$Q$37</definedName>
    <definedName name="celpe1">'[2]CALC-RESUMO'!$N$6:$O$37</definedName>
    <definedName name="celpe2">'[2]CALC-RESUMO'!$P$6:$Q$37</definedName>
    <definedName name="cfba" localSheetId="0">#REF!</definedName>
    <definedName name="cfba">#REF!</definedName>
    <definedName name="cfsp" localSheetId="0">#REF!</definedName>
    <definedName name="cfsp">#REF!</definedName>
    <definedName name="CI_1" localSheetId="0">#REF!</definedName>
    <definedName name="CI_1">#REF!</definedName>
    <definedName name="CI_10" localSheetId="0">#REF!</definedName>
    <definedName name="CI_10">#REF!</definedName>
    <definedName name="CI_11" localSheetId="0">#REF!</definedName>
    <definedName name="CI_11">#REF!</definedName>
    <definedName name="CI_12" localSheetId="0">#REF!</definedName>
    <definedName name="CI_12">#REF!</definedName>
    <definedName name="CI_2" localSheetId="0">#REF!</definedName>
    <definedName name="CI_2">#REF!</definedName>
    <definedName name="CI_3" localSheetId="0">#REF!</definedName>
    <definedName name="CI_3">#REF!</definedName>
    <definedName name="CI_4" localSheetId="0">#REF!</definedName>
    <definedName name="CI_4">#REF!</definedName>
    <definedName name="CI_5" localSheetId="0">#REF!</definedName>
    <definedName name="CI_5">#REF!</definedName>
    <definedName name="CI_6" localSheetId="0">#REF!</definedName>
    <definedName name="CI_6">#REF!</definedName>
    <definedName name="CI_7" localSheetId="0">#REF!</definedName>
    <definedName name="CI_7">#REF!</definedName>
    <definedName name="CI_8" localSheetId="0">#REF!</definedName>
    <definedName name="CI_8">#REF!</definedName>
    <definedName name="CI_9" localSheetId="0">#REF!</definedName>
    <definedName name="CI_9">#REF!</definedName>
    <definedName name="CI_A" localSheetId="0">#REF!</definedName>
    <definedName name="CI_A">#REF!</definedName>
    <definedName name="cliente" localSheetId="0">#REF!</definedName>
    <definedName name="cliente">#REF!</definedName>
    <definedName name="Cliente_1999" localSheetId="0">#REF!</definedName>
    <definedName name="Cliente_1999">#REF!</definedName>
    <definedName name="cliente2" localSheetId="0">#REF!</definedName>
    <definedName name="cliente2">#REF!</definedName>
    <definedName name="Clientes_2000" localSheetId="0">#REF!</definedName>
    <definedName name="Clientes_2000">#REF!</definedName>
    <definedName name="Clientes1" localSheetId="0">#REF!</definedName>
    <definedName name="Clientes1">#REF!</definedName>
    <definedName name="COFINS" localSheetId="0">#REF!</definedName>
    <definedName name="COFINS">#REF!</definedName>
    <definedName name="COLIGATIVO" localSheetId="0">#REF!</definedName>
    <definedName name="COLIGATIVO">#REF!</definedName>
    <definedName name="COLIGPASSIVO" localSheetId="0">#REF!</definedName>
    <definedName name="COLIGPASSIVO">#REF!</definedName>
    <definedName name="comercial">'[2]CALC-RESUMO'!$AI$3:$AM$34</definedName>
    <definedName name="COMPULSORIO" localSheetId="0">#REF!</definedName>
    <definedName name="COMPULSORIO">#REF!</definedName>
    <definedName name="Consolidações" localSheetId="0">#REF!</definedName>
    <definedName name="Consolidações">#REF!</definedName>
    <definedName name="Consumo" localSheetId="0">#REF!</definedName>
    <definedName name="Consumo">#REF!</definedName>
    <definedName name="Consumo_1999" localSheetId="0">#REF!</definedName>
    <definedName name="Consumo_1999">#REF!</definedName>
    <definedName name="Consumo_2000" localSheetId="0">#REF!</definedName>
    <definedName name="Consumo_2000">#REF!</definedName>
    <definedName name="Conv" localSheetId="0">#REF!</definedName>
    <definedName name="Conv">#REF!</definedName>
    <definedName name="CPMF">"Data_da_segunda_tranche"</definedName>
    <definedName name="CR_" localSheetId="0">#REF!</definedName>
    <definedName name="CR_">#REF!</definedName>
    <definedName name="CRED_FISC" localSheetId="0">#REF!</definedName>
    <definedName name="CRED_FISC">#REF!</definedName>
    <definedName name="Crédito_de_ICMS_do_Ativo_Imobilizado" localSheetId="0">#REF!</definedName>
    <definedName name="Crédito_de_ICMS_do_Ativo_Imobilizado">#REF!</definedName>
    <definedName name="cresc" localSheetId="0">#REF!</definedName>
    <definedName name="cresc">#REF!</definedName>
    <definedName name="cresc1" localSheetId="0">#REF!</definedName>
    <definedName name="cresc1">#REF!</definedName>
    <definedName name="cresc2" localSheetId="0">#REF!</definedName>
    <definedName name="cresc2">#REF!</definedName>
    <definedName name="cresc3" localSheetId="0">#REF!</definedName>
    <definedName name="cresc3">#REF!</definedName>
    <definedName name="cresc4" localSheetId="0">#REF!</definedName>
    <definedName name="cresc4">#REF!</definedName>
    <definedName name="creschexabr" localSheetId="0">#REF!</definedName>
    <definedName name="creschexabr">#REF!</definedName>
    <definedName name="creschexame" localSheetId="0">#REF!</definedName>
    <definedName name="creschexame">#REF!</definedName>
    <definedName name="CRITERIO">'[2]CALC-RESUMO'!$AA$46:$AA$67</definedName>
    <definedName name="_xlnm.Criteria" localSheetId="0">#REF!</definedName>
    <definedName name="_xlnm.Criteria">#REF!</definedName>
    <definedName name="CRUZEIROS" localSheetId="0">#REF!</definedName>
    <definedName name="CRUZEIROS">#REF!</definedName>
    <definedName name="CSD_J" localSheetId="0">#REF!</definedName>
    <definedName name="CSD_J">#REF!</definedName>
    <definedName name="CSD_M" localSheetId="0">#REF!</definedName>
    <definedName name="CSD_M">#REF!</definedName>
    <definedName name="CSD_S" localSheetId="0">#REF!</definedName>
    <definedName name="CSD_S">#REF!</definedName>
    <definedName name="CTAS.RECEBER" localSheetId="0">#REF!</definedName>
    <definedName name="CTAS.RECEBER">#REF!</definedName>
    <definedName name="cust" localSheetId="0">#REF!</definedName>
    <definedName name="cust">#REF!</definedName>
    <definedName name="CUSTO" localSheetId="0">#REF!</definedName>
    <definedName name="CUSTO">#REF!</definedName>
    <definedName name="Custos_de_Reposição" localSheetId="0">#REF!</definedName>
    <definedName name="Custos_de_Reposição">#REF!</definedName>
    <definedName name="CY_all_Assets" localSheetId="0">#REF!</definedName>
    <definedName name="CY_all_Assets">#REF!</definedName>
    <definedName name="CY_all_Equity" localSheetId="0">#REF!</definedName>
    <definedName name="CY_all_Equity">#REF!</definedName>
    <definedName name="CY_all_Income" localSheetId="0">#REF!</definedName>
    <definedName name="CY_all_Income">#REF!</definedName>
    <definedName name="CY_all_Liabs" localSheetId="0">#REF!</definedName>
    <definedName name="CY_all_Liabs">#REF!</definedName>
    <definedName name="CY_all_RetEarn_bf" localSheetId="0">#REF!</definedName>
    <definedName name="CY_all_RetEarn_bf">#REF!</definedName>
    <definedName name="CY_Commitments_in_favour_of_credit_institutions" localSheetId="0">#REF!</definedName>
    <definedName name="CY_Commitments_in_favour_of_credit_institutions">#REF!</definedName>
    <definedName name="CY_Commitments_in_favour_of_customers" localSheetId="0">#REF!</definedName>
    <definedName name="CY_Commitments_in_favour_of_customers">#REF!</definedName>
    <definedName name="CY_Commitments_in_respect_of_securities" localSheetId="0">#REF!</definedName>
    <definedName name="CY_Commitments_in_respect_of_securities">#REF!</definedName>
    <definedName name="CY_Commitments_received_from_credit_institutions" localSheetId="0">#REF!</definedName>
    <definedName name="CY_Commitments_received_from_credit_institutions">#REF!</definedName>
    <definedName name="CY_Financing_commitments" localSheetId="0">#REF!</definedName>
    <definedName name="CY_Financing_commitments">#REF!</definedName>
    <definedName name="CY_Guarantees" localSheetId="0">#REF!</definedName>
    <definedName name="CY_Guarantees">#REF!</definedName>
    <definedName name="CY_Guarantees_in_respect_of_securities" localSheetId="0">#REF!</definedName>
    <definedName name="CY_Guarantees_in_respect_of_securities">#REF!</definedName>
    <definedName name="CY_Guarantees_received_from_credit_institutions" localSheetId="0">#REF!</definedName>
    <definedName name="CY_Guarantees_received_from_credit_institutions">#REF!</definedName>
    <definedName name="CY_Guarantees_to_credit_institutions" localSheetId="0">#REF!</definedName>
    <definedName name="CY_Guarantees_to_credit_institutions">#REF!</definedName>
    <definedName name="CY_knw_Assets" localSheetId="0">#REF!</definedName>
    <definedName name="CY_knw_Assets">#REF!</definedName>
    <definedName name="CY_knw_Equity" localSheetId="0">#REF!</definedName>
    <definedName name="CY_knw_Equity">#REF!</definedName>
    <definedName name="CY_knw_Income" localSheetId="0">#REF!</definedName>
    <definedName name="CY_knw_Income">#REF!</definedName>
    <definedName name="CY_knw_Liabs" localSheetId="0">#REF!</definedName>
    <definedName name="CY_knw_Liabs">#REF!</definedName>
    <definedName name="CY_knw_RetEarn_bf" localSheetId="0">#REF!</definedName>
    <definedName name="CY_knw_RetEarn_bf">#REF!</definedName>
    <definedName name="CY_lik_Equity" localSheetId="0">#REF!</definedName>
    <definedName name="CY_lik_Equity">#REF!</definedName>
    <definedName name="CY_Other_commitments_given" localSheetId="0">#REF!</definedName>
    <definedName name="CY_Other_commitments_given">#REF!</definedName>
    <definedName name="CY_Other_commitments_received" localSheetId="0">#REF!</definedName>
    <definedName name="CY_Other_commitments_received">#REF!</definedName>
    <definedName name="CY_Securities_acquired_with_an_option_to_repurchase_or_take_back" localSheetId="0">#REF!</definedName>
    <definedName name="CY_Securities_acquired_with_an_option_to_repurchase_or_take_back">#REF!</definedName>
    <definedName name="CY_Securities_sold_with_an_option_to_repurchase_or_take_back" localSheetId="0">#REF!</definedName>
    <definedName name="CY_Securities_sold_with_an_option_to_repurchase_or_take_back">#REF!</definedName>
    <definedName name="CY_TOTAL_COMMITMENTS_RECEIVED" localSheetId="0">#REF!</definedName>
    <definedName name="CY_TOTAL_COMMITMENTS_RECEIVED">#REF!</definedName>
    <definedName name="CY_TOTAL_CONTINGENT_LIABILITIES" localSheetId="0">#REF!</definedName>
    <definedName name="CY_TOTAL_CONTINGENT_LIABILITIES">#REF!</definedName>
    <definedName name="CY_tx_all_Equity" localSheetId="0">#REF!</definedName>
    <definedName name="CY_tx_all_Equity">#REF!</definedName>
    <definedName name="CY_tx_all_Income" localSheetId="0">#REF!</definedName>
    <definedName name="CY_tx_all_Income">#REF!</definedName>
    <definedName name="CY_tx_all_RetEarn_bf" localSheetId="0">#REF!</definedName>
    <definedName name="CY_tx_all_RetEarn_bf">#REF!</definedName>
    <definedName name="CY_tx_knw_Equity" localSheetId="0">#REF!</definedName>
    <definedName name="CY_tx_knw_Equity">#REF!</definedName>
    <definedName name="CY_tx_knw_Income" localSheetId="0">#REF!</definedName>
    <definedName name="CY_tx_knw_Income">#REF!</definedName>
    <definedName name="CY_tx_knw_Liabs" localSheetId="0">#REF!</definedName>
    <definedName name="CY_tx_knw_Liabs">#REF!</definedName>
    <definedName name="CY_tx_knw_RetEarn_bf" localSheetId="0">#REF!</definedName>
    <definedName name="CY_tx_knw_RetEarn_bf">#REF!</definedName>
    <definedName name="D" localSheetId="0">#REF!</definedName>
    <definedName name="D">#REF!</definedName>
    <definedName name="D.R.E." localSheetId="0">#REF!</definedName>
    <definedName name="D.R.E.">#REF!</definedName>
    <definedName name="daa">'[1]Ativo e Passivo'!$F$38</definedName>
    <definedName name="dad" localSheetId="0">'[2]ativo e passivo'!#REF!</definedName>
    <definedName name="dad">'[2]ativo e passivo'!#REF!</definedName>
    <definedName name="dado" localSheetId="0">#REF!</definedName>
    <definedName name="dado">#REF!</definedName>
    <definedName name="dados">[3]Plan1!$A$1:$F$593</definedName>
    <definedName name="DADOS1" localSheetId="0">#REF!</definedName>
    <definedName name="DADOS1">#REF!</definedName>
    <definedName name="DADOS2" localSheetId="0">#REF!</definedName>
    <definedName name="DADOS2">#REF!</definedName>
    <definedName name="DD" localSheetId="0">#REF!</definedName>
    <definedName name="DD">#REF!</definedName>
    <definedName name="ddd" localSheetId="0">#REF!</definedName>
    <definedName name="ddd">#REF!</definedName>
    <definedName name="DEBENLP" localSheetId="0">#REF!</definedName>
    <definedName name="DEBENLP">#REF!</definedName>
    <definedName name="Demanda1" localSheetId="0">#REF!</definedName>
    <definedName name="Demanda1">#REF!</definedName>
    <definedName name="DEPR8200" localSheetId="0">#REF!</definedName>
    <definedName name="DEPR8200">#REF!</definedName>
    <definedName name="Depreciação" localSheetId="0">#REF!</definedName>
    <definedName name="Depreciação">#REF!</definedName>
    <definedName name="DESPESA" localSheetId="0">#REF!</definedName>
    <definedName name="DESPESA">#REF!</definedName>
    <definedName name="Despfixa" localSheetId="0">#REF!</definedName>
    <definedName name="Despfixa">#REF!</definedName>
    <definedName name="DEZ" localSheetId="0">#REF!</definedName>
    <definedName name="DEZ">#REF!</definedName>
    <definedName name="dfdd">{#N/A,#N/A,FALSE,"Aging Summary";#N/A,#N/A,FALSE,"Ratio Analysis";#N/A,#N/A,FALSE,"Test 120 Day Accts";#N/A,#N/A,FALSE,"Tickmarks"}</definedName>
    <definedName name="DIF" localSheetId="0">#REF!</definedName>
    <definedName name="DIF">#REF!</definedName>
    <definedName name="DIF_AC" localSheetId="0">#REF!</definedName>
    <definedName name="DIF_AC">#REF!</definedName>
    <definedName name="DIF_M" localSheetId="0">#REF!</definedName>
    <definedName name="DIF_M">#REF!</definedName>
    <definedName name="DIFAC" localSheetId="0">#REF!</definedName>
    <definedName name="DIFAC">#REF!</definedName>
    <definedName name="DIFERIDO" localSheetId="0">#REF!</definedName>
    <definedName name="DIFERIDO">#REF!</definedName>
    <definedName name="Difference" localSheetId="0">#REF!</definedName>
    <definedName name="Difference">#REF!</definedName>
    <definedName name="DIFM" localSheetId="0">#REF!</definedName>
    <definedName name="DIFM">#REF!</definedName>
    <definedName name="DIFR" localSheetId="0">#REF!</definedName>
    <definedName name="DIFR">#REF!</definedName>
    <definedName name="DIFR1" localSheetId="0">#REF!</definedName>
    <definedName name="DIFR1">#REF!</definedName>
    <definedName name="Disaggregations" localSheetId="0">#REF!</definedName>
    <definedName name="Disaggregations">#REF!</definedName>
    <definedName name="DMPL" localSheetId="0">#REF!</definedName>
    <definedName name="DMPL">#REF!</definedName>
    <definedName name="DOARE" localSheetId="0">#REF!</definedName>
    <definedName name="DOARE">#REF!</definedName>
    <definedName name="Dol_Anal_PL" localSheetId="0">[3]Plan1!#REF!</definedName>
    <definedName name="Dol_Anal_PL">[3]Plan1!#REF!</definedName>
    <definedName name="Dol_Anal_plen" localSheetId="0">[3]Plan1!#REF!</definedName>
    <definedName name="Dol_Anal_plen">[3]Plan1!#REF!</definedName>
    <definedName name="DolarFinal" localSheetId="0">#REF!</definedName>
    <definedName name="DolarFinal">#REF!</definedName>
    <definedName name="Dolars98" localSheetId="0">#REF!</definedName>
    <definedName name="Dolars98">#REF!</definedName>
    <definedName name="DRA" localSheetId="0">#REF!</definedName>
    <definedName name="DRA">#REF!</definedName>
    <definedName name="DRE" localSheetId="0">#REF!</definedName>
    <definedName name="DRE">#REF!</definedName>
    <definedName name="DRE_CI" localSheetId="0">#REF!</definedName>
    <definedName name="DRE_CI">#REF!</definedName>
    <definedName name="DRE_CR_" localSheetId="0">#REF!</definedName>
    <definedName name="DRE_CR_">#REF!</definedName>
    <definedName name="DRE_e_Geração_de_Caixa" localSheetId="0">#REF!</definedName>
    <definedName name="DRE_e_Geração_de_Caixa">#REF!</definedName>
    <definedName name="DRE_e_Geração_de_Caixa_Consolidado" localSheetId="0">#REF!</definedName>
    <definedName name="DRE_e_Geração_de_Caixa_Consolidado">#REF!</definedName>
    <definedName name="DRE_Goiás" localSheetId="0">#REF!</definedName>
    <definedName name="DRE_Goiás">#REF!</definedName>
    <definedName name="DRE_PREP." localSheetId="0">#REF!</definedName>
    <definedName name="DRE_PREP.">#REF!</definedName>
    <definedName name="DRE_RJ" localSheetId="0">#REF!</definedName>
    <definedName name="DRE_RJ">#REF!</definedName>
    <definedName name="DRE_SP" localSheetId="0">#REF!</definedName>
    <definedName name="DRE_SP">#REF!</definedName>
    <definedName name="DRE_UFIR" localSheetId="0">#REF!</definedName>
    <definedName name="DRE_UFIR">#REF!</definedName>
    <definedName name="DRECI" localSheetId="0">#REF!</definedName>
    <definedName name="DRECI">#REF!</definedName>
    <definedName name="dsa" localSheetId="0">'[2]ativo e passivo'!#REF!</definedName>
    <definedName name="dsa">'[2]ativo e passivo'!#REF!</definedName>
    <definedName name="DUPLS.ARECEBER" localSheetId="0">#REF!</definedName>
    <definedName name="DUPLS.ARECEBER">#REF!</definedName>
    <definedName name="EE" localSheetId="0">#REF!</definedName>
    <definedName name="EE">#REF!</definedName>
    <definedName name="eee" localSheetId="0">#REF!</definedName>
    <definedName name="eee">#REF!</definedName>
    <definedName name="emergencial">'[2]CALC-RESUMO'!$AN$3:$AR$34</definedName>
    <definedName name="EMp" localSheetId="0">#REF!</definedName>
    <definedName name="EMp">#REF!</definedName>
    <definedName name="EQ" localSheetId="0">#REF!</definedName>
    <definedName name="EQ">#REF!</definedName>
    <definedName name="EQ_1" localSheetId="0">#REF!</definedName>
    <definedName name="EQ_1">#REF!</definedName>
    <definedName name="EQ_2" localSheetId="0">#REF!</definedName>
    <definedName name="EQ_2">#REF!</definedName>
    <definedName name="EQM" localSheetId="0">#REF!</definedName>
    <definedName name="EQM">#REF!</definedName>
    <definedName name="EST" localSheetId="0">#REF!</definedName>
    <definedName name="EST">#REF!</definedName>
    <definedName name="Estoque" localSheetId="0">#REF!</definedName>
    <definedName name="Estoque">#REF!</definedName>
    <definedName name="ESTOQUES" localSheetId="0">#REF!</definedName>
    <definedName name="ESTOQUES">#REF!</definedName>
    <definedName name="EVA" localSheetId="0">#REF!</definedName>
    <definedName name="EVA">#REF!</definedName>
    <definedName name="EXC" localSheetId="0">#REF!</definedName>
    <definedName name="EXC">#REF!</definedName>
    <definedName name="Expected_balance" localSheetId="0">#REF!</definedName>
    <definedName name="Expected_balance">#REF!</definedName>
    <definedName name="F_1" localSheetId="0">#REF!</definedName>
    <definedName name="F_1">#REF!</definedName>
    <definedName name="F_2" localSheetId="0">#REF!</definedName>
    <definedName name="F_2">#REF!</definedName>
    <definedName name="F_3" localSheetId="0">#REF!</definedName>
    <definedName name="F_3">#REF!</definedName>
    <definedName name="faldodd" localSheetId="0">#REF!</definedName>
    <definedName name="faldodd">#REF!</definedName>
    <definedName name="Faturamento" localSheetId="0">#REF!</definedName>
    <definedName name="Faturamento">#REF!</definedName>
    <definedName name="FB_D_PI" localSheetId="0">#REF!</definedName>
    <definedName name="FB_D_PI">#REF!</definedName>
    <definedName name="FB_D_PP" localSheetId="0">#REF!</definedName>
    <definedName name="FB_D_PP">#REF!</definedName>
    <definedName name="FB_T_PI" localSheetId="0">#REF!</definedName>
    <definedName name="FB_T_PI">#REF!</definedName>
    <definedName name="FB_T_PP" localSheetId="0">#REF!</definedName>
    <definedName name="FB_T_PP">#REF!</definedName>
    <definedName name="fefe" localSheetId="0">#REF!</definedName>
    <definedName name="fefe">#REF!</definedName>
    <definedName name="FEV" localSheetId="0">#REF!</definedName>
    <definedName name="FEV">#REF!</definedName>
    <definedName name="ff">4</definedName>
    <definedName name="fff" localSheetId="0">#REF!</definedName>
    <definedName name="fff">#REF!</definedName>
    <definedName name="Financiamentos" localSheetId="0">#REF!</definedName>
    <definedName name="Financiamentos">#REF!</definedName>
    <definedName name="Financiamentos_e_Congelados" localSheetId="0">#REF!</definedName>
    <definedName name="Financiamentos_e_Congelados">#REF!</definedName>
    <definedName name="FINANCP" localSheetId="0">#REF!</definedName>
    <definedName name="FINANCP">#REF!</definedName>
    <definedName name="FINANLP" localSheetId="0">#REF!</definedName>
    <definedName name="FINANLP">#REF!</definedName>
    <definedName name="físico" localSheetId="0">#REF!</definedName>
    <definedName name="físico">#REF!</definedName>
    <definedName name="FN_D_PI" localSheetId="0">#REF!</definedName>
    <definedName name="FN_D_PI">#REF!</definedName>
    <definedName name="FN_T_PI" localSheetId="0">#REF!</definedName>
    <definedName name="FN_T_PI">#REF!</definedName>
    <definedName name="FOLHA" localSheetId="0">#REF!</definedName>
    <definedName name="FOLHA">#REF!</definedName>
    <definedName name="formolfafen" localSheetId="0">#REF!</definedName>
    <definedName name="formolfafen">#REF!</definedName>
    <definedName name="formolfafen02" localSheetId="0">#REF!</definedName>
    <definedName name="formolfafen02">#REF!</definedName>
    <definedName name="formolfafen03" localSheetId="0">#REF!</definedName>
    <definedName name="formolfafen03">#REF!</definedName>
    <definedName name="FormolMonsanto" localSheetId="0">#REF!</definedName>
    <definedName name="FormolMonsanto">#REF!</definedName>
    <definedName name="formolmonsanto03" localSheetId="0">#REF!</definedName>
    <definedName name="formolmonsanto03">#REF!</definedName>
    <definedName name="g">[3]Plan1!$C$7:$V$7</definedName>
    <definedName name="GDF" localSheetId="0">#REF!</definedName>
    <definedName name="GDF">#REF!</definedName>
    <definedName name="gg">2</definedName>
    <definedName name="GGHHH\">3</definedName>
    <definedName name="ggj">{"'COMBUSTÍVEIS'!$A$1:$K$88"}</definedName>
    <definedName name="GP" localSheetId="0">#REF!</definedName>
    <definedName name="GP">#REF!</definedName>
    <definedName name="GP_1" localSheetId="0">#REF!</definedName>
    <definedName name="GP_1">#REF!</definedName>
    <definedName name="GP_10" localSheetId="0">#REF!</definedName>
    <definedName name="GP_10">#REF!</definedName>
    <definedName name="GP_11" localSheetId="0">#REF!</definedName>
    <definedName name="GP_11">#REF!</definedName>
    <definedName name="GP_12" localSheetId="0">#REF!</definedName>
    <definedName name="GP_12">#REF!</definedName>
    <definedName name="GP_2" localSheetId="0">#REF!</definedName>
    <definedName name="GP_2">#REF!</definedName>
    <definedName name="GP_3" localSheetId="0">#REF!</definedName>
    <definedName name="GP_3">#REF!</definedName>
    <definedName name="GP_4" localSheetId="0">#REF!</definedName>
    <definedName name="GP_4">#REF!</definedName>
    <definedName name="GP_5" localSheetId="0">#REF!</definedName>
    <definedName name="GP_5">#REF!</definedName>
    <definedName name="GP_6" localSheetId="0">#REF!</definedName>
    <definedName name="GP_6">#REF!</definedName>
    <definedName name="GP_7" localSheetId="0">#REF!</definedName>
    <definedName name="GP_7">#REF!</definedName>
    <definedName name="GP_8" localSheetId="0">#REF!</definedName>
    <definedName name="GP_8">#REF!</definedName>
    <definedName name="GP_9" localSheetId="0">#REF!</definedName>
    <definedName name="GP_9">#REF!</definedName>
    <definedName name="GP_A" localSheetId="0">#REF!</definedName>
    <definedName name="GP_A">#REF!</definedName>
    <definedName name="GP_M" localSheetId="0">#REF!</definedName>
    <definedName name="GP_M">#REF!</definedName>
    <definedName name="GRAT" localSheetId="0">#REF!</definedName>
    <definedName name="GRAT">#REF!</definedName>
    <definedName name="GRUPO_1" localSheetId="0">#REF!</definedName>
    <definedName name="GRUPO_1">#REF!</definedName>
    <definedName name="GRUPO_2" localSheetId="0">#REF!</definedName>
    <definedName name="GRUPO_2">#REF!</definedName>
    <definedName name="GRUPO_3" localSheetId="0">#REF!</definedName>
    <definedName name="GRUPO_3">#REF!</definedName>
    <definedName name="GRUPO_4" localSheetId="0">#REF!</definedName>
    <definedName name="GRUPO_4">#REF!</definedName>
    <definedName name="GRUPO_5" localSheetId="0">#REF!</definedName>
    <definedName name="GRUPO_5">#REF!</definedName>
    <definedName name="GRUPO_6" localSheetId="0">#REF!</definedName>
    <definedName name="GRUPO_6">#REF!</definedName>
    <definedName name="GRUPO_7" localSheetId="0">#REF!</definedName>
    <definedName name="GRUPO_7">#REF!</definedName>
    <definedName name="GRUPO_8" localSheetId="0">#REF!</definedName>
    <definedName name="GRUPO_8">#REF!</definedName>
    <definedName name="GS" localSheetId="0">#REF!</definedName>
    <definedName name="GS">#REF!</definedName>
    <definedName name="Guaraniana" localSheetId="0">#REF!</definedName>
    <definedName name="Guaraniana">#REF!</definedName>
    <definedName name="HH" localSheetId="0">#REF!</definedName>
    <definedName name="HH">#REF!</definedName>
    <definedName name="HHJJ" localSheetId="0">#REF!</definedName>
    <definedName name="HHJJ">#REF!</definedName>
    <definedName name="HIDE" localSheetId="0">#REF!</definedName>
    <definedName name="HIDE">#REF!</definedName>
    <definedName name="Hipoteses">[4]Taxas!$I$1:$AT$6</definedName>
    <definedName name="HOECHST______20" localSheetId="0">#REF!</definedName>
    <definedName name="HOECHST______20">#REF!</definedName>
    <definedName name="HONORARIO" localSheetId="0">#REF!</definedName>
    <definedName name="HONORARIO">#REF!</definedName>
    <definedName name="HTML_CodePage">1252</definedName>
    <definedName name="HTML_Control">{"'COMBUSTÍVEIS'!$A$1:$K$88"}</definedName>
    <definedName name="HTML_Description">""</definedName>
    <definedName name="HTML_Email">"edmundo.nesi@satdist.com.br"</definedName>
    <definedName name="HTML_Header">"COMBUSTÍVEIS"</definedName>
    <definedName name="HTML_LastUpdate">"01/03/00"</definedName>
    <definedName name="HTML_LineAfter">0</definedName>
    <definedName name="HTML_LineBefore">0</definedName>
    <definedName name="HTML_Name">"Edmundo Nesi"</definedName>
    <definedName name="HTML_OBDlg2">1</definedName>
    <definedName name="HTML_OBDlg4">1</definedName>
    <definedName name="HTML_OS">0</definedName>
    <definedName name="HTML_PathFile">"G:\Edmundo\HTML\COMBUSTIVEIS.htm"</definedName>
    <definedName name="HTML_Title">"Combustíveis 01a29.02"</definedName>
    <definedName name="IGPM">[4]Taxas!$A$1:$B$65536</definedName>
    <definedName name="II" localSheetId="0">#REF!</definedName>
    <definedName name="II">#REF!</definedName>
    <definedName name="IM_3" localSheetId="0">#REF!</definedName>
    <definedName name="IM_3">#REF!</definedName>
    <definedName name="IM3_DADOS" localSheetId="0">#REF!</definedName>
    <definedName name="IM3_DADOS">#REF!</definedName>
    <definedName name="IM3_INICIO" localSheetId="0">#REF!</definedName>
    <definedName name="IM3_INICIO">#REF!</definedName>
    <definedName name="IM3_TESTE" localSheetId="0">#REF!</definedName>
    <definedName name="IM3_TESTE">#REF!</definedName>
    <definedName name="IMOB" localSheetId="0">#REF!</definedName>
    <definedName name="IMOB">#REF!</definedName>
    <definedName name="IMOBILIZA01" localSheetId="0">#REF!</definedName>
    <definedName name="IMOBILIZA01">#REF!</definedName>
    <definedName name="IMOBILIZA02" localSheetId="0">#REF!</definedName>
    <definedName name="IMOBILIZA02">#REF!</definedName>
    <definedName name="IMOBILIZADO" localSheetId="0">#REF!</definedName>
    <definedName name="IMOBILIZADO">#REF!</definedName>
    <definedName name="IMP" localSheetId="0">#REF!</definedName>
    <definedName name="IMP">#REF!</definedName>
    <definedName name="IMP_1" localSheetId="0">#REF!</definedName>
    <definedName name="IMP_1">#REF!</definedName>
    <definedName name="IMP_10" localSheetId="0">#REF!</definedName>
    <definedName name="IMP_10">#REF!</definedName>
    <definedName name="IMP_11" localSheetId="0">#REF!</definedName>
    <definedName name="IMP_11">#REF!</definedName>
    <definedName name="IMP_12" localSheetId="0">#REF!</definedName>
    <definedName name="IMP_12">#REF!</definedName>
    <definedName name="IMP_2" localSheetId="0">#REF!</definedName>
    <definedName name="IMP_2">#REF!</definedName>
    <definedName name="IMP_3" localSheetId="0">#REF!</definedName>
    <definedName name="IMP_3">#REF!</definedName>
    <definedName name="IMP_4" localSheetId="0">#REF!</definedName>
    <definedName name="IMP_4">#REF!</definedName>
    <definedName name="IMP_5" localSheetId="0">#REF!</definedName>
    <definedName name="IMP_5">#REF!</definedName>
    <definedName name="IMP_6" localSheetId="0">#REF!</definedName>
    <definedName name="IMP_6">#REF!</definedName>
    <definedName name="IMP_7" localSheetId="0">#REF!</definedName>
    <definedName name="IMP_7">#REF!</definedName>
    <definedName name="IMP_8" localSheetId="0">#REF!</definedName>
    <definedName name="IMP_8">#REF!</definedName>
    <definedName name="IMP_9" localSheetId="0">#REF!</definedName>
    <definedName name="IMP_9">#REF!</definedName>
    <definedName name="IMP_A" localSheetId="0">#REF!</definedName>
    <definedName name="IMP_A">#REF!</definedName>
    <definedName name="IMP_B" localSheetId="0">#REF!</definedName>
    <definedName name="IMP_B">#REF!</definedName>
    <definedName name="IMP_C" localSheetId="0">#REF!</definedName>
    <definedName name="IMP_C">#REF!</definedName>
    <definedName name="IMP_D" localSheetId="0">#REF!</definedName>
    <definedName name="IMP_D">#REF!</definedName>
    <definedName name="IMP_E" localSheetId="0">#REF!</definedName>
    <definedName name="IMP_E">#REF!</definedName>
    <definedName name="IMP_F" localSheetId="0">#REF!</definedName>
    <definedName name="IMP_F">#REF!</definedName>
    <definedName name="IMP_G" localSheetId="0">#REF!</definedName>
    <definedName name="IMP_G">#REF!</definedName>
    <definedName name="IMP_H" localSheetId="0">#REF!</definedName>
    <definedName name="IMP_H">#REF!</definedName>
    <definedName name="IMP_I" localSheetId="0">#REF!</definedName>
    <definedName name="IMP_I">#REF!</definedName>
    <definedName name="IMP_J" localSheetId="0">#REF!</definedName>
    <definedName name="IMP_J">#REF!</definedName>
    <definedName name="IMP_L" localSheetId="0">#REF!</definedName>
    <definedName name="IMP_L">#REF!</definedName>
    <definedName name="IMPATUAL" localSheetId="0">#REF!</definedName>
    <definedName name="IMPATUAL">#REF!</definedName>
    <definedName name="IMPORTA" localSheetId="0">#REF!</definedName>
    <definedName name="IMPORTA">#REF!</definedName>
    <definedName name="Impostos_Sobre_EBIT" localSheetId="0">#REF!</definedName>
    <definedName name="Impostos_Sobre_EBIT">#REF!</definedName>
    <definedName name="INCENTIVOS" localSheetId="0">#REF!</definedName>
    <definedName name="INCENTIVOS">#REF!</definedName>
    <definedName name="INDICES" localSheetId="0">#REF!</definedName>
    <definedName name="INDICES">#REF!</definedName>
    <definedName name="INF.GER." localSheetId="0">#REF!</definedName>
    <definedName name="INF.GER.">#REF!</definedName>
    <definedName name="INF.GER1" localSheetId="0">#REF!</definedName>
    <definedName name="INF.GER1">#REF!</definedName>
    <definedName name="INICIO" localSheetId="0">#REF!</definedName>
    <definedName name="INICIO">#REF!</definedName>
    <definedName name="initialdate">[3]Plan1!$D$8</definedName>
    <definedName name="inversión_eb_rc" localSheetId="0">#REF!</definedName>
    <definedName name="inversión_eb_rc">#REF!</definedName>
    <definedName name="INVESCOLIG" localSheetId="0">#REF!</definedName>
    <definedName name="INVESCOLIG">#REF!</definedName>
    <definedName name="Invest" localSheetId="0">#REF!</definedName>
    <definedName name="Invest">#REF!</definedName>
    <definedName name="investimento" localSheetId="0">#REF!</definedName>
    <definedName name="investimento">#REF!</definedName>
    <definedName name="Investimentos" localSheetId="0">#REF!</definedName>
    <definedName name="Investimentos">#REF!</definedName>
    <definedName name="INVESTIOUTROS" localSheetId="0">#REF!</definedName>
    <definedName name="INVESTIOUTROS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"c2108"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IZED_INTEREST">"c2076"</definedName>
    <definedName name="IQ_CASH">"c1458"</definedName>
    <definedName name="IQ_CASH_ACQUIRE_CF">"c1630"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ASSA_OUTSTANDING_BS_DATE">"c1971"</definedName>
    <definedName name="IQ_CLASSA_OUTSTANDING_FILING_DATE">"c1973"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OTHER_COST">"c284"</definedName>
    <definedName name="IQ_DEF_BENEFIT_ROA">"c285"</definedName>
    <definedName name="IQ_DEF_BENEFIT_SERVICE_COST">"c286"</definedName>
    <definedName name="IQ_DEF_BENEFIT_TOTAL_COST">"c287"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V_PAYMENT_DATE">"c2106"</definedName>
    <definedName name="IQ_DIV_RECORD_DATE">"c2105"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INT">"c360"</definedName>
    <definedName name="IQ_EBIT_MARGIN">"c359"</definedName>
    <definedName name="IQ_EBIT_OVER_IE">"c1369"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INT">"c373"</definedName>
    <definedName name="IQ_EBITDA_MARGIN">"c372"</definedName>
    <definedName name="IQ_EBITDA_OVER_TOTAL_IE">"c1371"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EST">"c399"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UM_EST">"c402"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EPS">"c1648"</definedName>
    <definedName name="IQ_EST_CURRENCY">"c2140"</definedName>
    <definedName name="IQ_EST_DATE">"c1634"</definedName>
    <definedName name="IQ_EST_EPS_DIFF">"c1864"</definedName>
    <definedName name="IQ_EST_EPS_GROWTH_1YR">"c1636"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FO">"c1574"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DIVID">"c1446"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ROFIT">"c1378"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LAND">"c645"</definedName>
    <definedName name="IQ_LAST_SPLIT_DATE">"c2095"</definedName>
    <definedName name="IQ_LAST_SPLIT_FACTOR">"c2093"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ICENSED_POPS">"c2123"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REPAIR">"c2087"</definedName>
    <definedName name="IQ_MARKETCAP">"c712"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NET_CHANGE">"c749"</definedName>
    <definedName name="IQ_NET_DEBT">"c1584"</definedName>
    <definedName name="IQ_NET_DEBT_EBITDA">"c750"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SFAS">"c795"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CLOSE_BALANCE_GAS">"c2049"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OIL">"c2032"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OIL">"c2035"</definedName>
    <definedName name="IQ_OG_PURCHASES_GAS">"c2045"</definedName>
    <definedName name="IQ_OG_PURCHASES_OIL">"c2033"</definedName>
    <definedName name="IQ_OG_REVISIONS_GAS">"c2042"</definedName>
    <definedName name="IQ_OG_REVISIONS_OIL">"c2030"</definedName>
    <definedName name="IQ_OG_SALES_IN_PLACE_GAS">"c2046"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OIL_PRODUCTON">"c2059"</definedName>
    <definedName name="IQ_OG_UNDEVELOPED_RESERVES_GAS">"c2051"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ISSUED">"c857"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UTSTANDING_BS_DATE">"c2128"</definedName>
    <definedName name="IQ_OUTSTANDING_FILING_DATE">"c2127"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RATIO">"c1610"</definedName>
    <definedName name="IQ_PENSION">"c1031"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VG_STORE_SIZE_GROSS">"c2066"</definedName>
    <definedName name="IQ_RETAIL_AVG_STORE_SIZE_NET">"c2067"</definedName>
    <definedName name="IQ_RETAIL_CLOSED_STORES">"c2063"</definedName>
    <definedName name="IQ_RETAIL_OPENED_STORES">"c2062"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Q_FOOTAGE">"c2064"</definedName>
    <definedName name="IQ_RETAIL_STORE_SELLING_AREA">"c2065"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UTI">"c1125"</definedName>
    <definedName name="IQ_REVENUE">"c1422"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ME_STORE">"c1149"</definedName>
    <definedName name="IQ_SAVING_DEP">"c1150"</definedName>
    <definedName name="IQ_SECUR_RECEIV">"c1151"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CF">"c1203"</definedName>
    <definedName name="IQ_STRIKE_PRICE_ISSUED">"c1645"</definedName>
    <definedName name="IQ_STRIKE_PRICE_OS">"c1646"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MPLOYEE_AVG">"c1225"</definedName>
    <definedName name="IQ_TEV_TOTAL_REV">"c1226"</definedName>
    <definedName name="IQ_TEV_TOTAL_REV_AVG">"c1227"</definedName>
    <definedName name="IQ_TIER_ONE_RATIO">"c1229"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QUITY">"c1250"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EXP">"c1291"</definedName>
    <definedName name="IQ_TOTAL_PENSION_OBLIGATION">"c1292"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S">"c2119"</definedName>
    <definedName name="IQ_TOTAL_UNUSUAL">"c1508"</definedName>
    <definedName name="IQ_TRADE_AR">"c1345"</definedName>
    <definedName name="IQ_TRADE_PRINCIPAL">"c1309"</definedName>
    <definedName name="IQ_TRADING_ASSETS">"c1310"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USUAL_EXP">"c1456"</definedName>
    <definedName name="IQ_US_GAAP">"c1331"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EIGHTED_AVG_PRICE">"c1334"</definedName>
    <definedName name="IQ_WIP_INV">"c1335"</definedName>
    <definedName name="IQ_WORKMEN_WRITTEN">"c1336"</definedName>
    <definedName name="IQ_XDIV_DATE">"c2104"</definedName>
    <definedName name="IQ_YEARHIGH">"c1337"</definedName>
    <definedName name="IQ_YEARLOW">"c1338"</definedName>
    <definedName name="IQ_YTD">3000</definedName>
    <definedName name="IQ_Z_SCORE">"c1339"</definedName>
    <definedName name="IR_1" localSheetId="0">#REF!</definedName>
    <definedName name="IR_1">#REF!</definedName>
    <definedName name="IR_10" localSheetId="0">#REF!</definedName>
    <definedName name="IR_10">#REF!</definedName>
    <definedName name="IR_11" localSheetId="0">#REF!</definedName>
    <definedName name="IR_11">#REF!</definedName>
    <definedName name="IR_12" localSheetId="0">#REF!</definedName>
    <definedName name="IR_12">#REF!</definedName>
    <definedName name="IR_2" localSheetId="0">#REF!</definedName>
    <definedName name="IR_2">#REF!</definedName>
    <definedName name="IR_3" localSheetId="0">#REF!</definedName>
    <definedName name="IR_3">#REF!</definedName>
    <definedName name="IR_4" localSheetId="0">#REF!</definedName>
    <definedName name="IR_4">#REF!</definedName>
    <definedName name="IR_5" localSheetId="0">#REF!</definedName>
    <definedName name="IR_5">#REF!</definedName>
    <definedName name="IR_6" localSheetId="0">#REF!</definedName>
    <definedName name="IR_6">#REF!</definedName>
    <definedName name="IR_7" localSheetId="0">#REF!</definedName>
    <definedName name="IR_7">#REF!</definedName>
    <definedName name="IR_8" localSheetId="0">#REF!</definedName>
    <definedName name="IR_8">#REF!</definedName>
    <definedName name="IR_9" localSheetId="0">#REF!</definedName>
    <definedName name="IR_9">#REF!</definedName>
    <definedName name="IR_ANO" localSheetId="0">#REF!</definedName>
    <definedName name="IR_ANO">#REF!</definedName>
    <definedName name="IR_ESTIMADO" localSheetId="0">#REF!</definedName>
    <definedName name="IR_ESTIMADO">#REF!</definedName>
    <definedName name="IR_UFIR" localSheetId="0">#REF!</definedName>
    <definedName name="IR_UFIR">#REF!</definedName>
    <definedName name="IRD_J" localSheetId="0">#REF!</definedName>
    <definedName name="IRD_J">#REF!</definedName>
    <definedName name="IRD_M" localSheetId="0">#REF!</definedName>
    <definedName name="IRD_M">#REF!</definedName>
    <definedName name="IRD_S" localSheetId="0">#REF!</definedName>
    <definedName name="IRD_S">#REF!</definedName>
    <definedName name="IRDIF" localSheetId="0">#REF!</definedName>
    <definedName name="IRDIF">#REF!</definedName>
    <definedName name="IRDIF_J" localSheetId="0">#REF!</definedName>
    <definedName name="IRDIF_J">#REF!</definedName>
    <definedName name="IRDIF_M" localSheetId="0">#REF!</definedName>
    <definedName name="IRDIF_M">#REF!</definedName>
    <definedName name="IRDIF_S" localSheetId="0">#REF!</definedName>
    <definedName name="IRDIF_S">#REF!</definedName>
    <definedName name="irRF" localSheetId="0">#REF!</definedName>
    <definedName name="irRF">#REF!</definedName>
    <definedName name="ithexa" localSheetId="0">#REF!</definedName>
    <definedName name="ithexa">#REF!</definedName>
    <definedName name="itpenta" localSheetId="0">#REF!</definedName>
    <definedName name="itpenta">#REF!</definedName>
    <definedName name="itpentaba" localSheetId="0">#REF!</definedName>
    <definedName name="itpentaba">#REF!</definedName>
    <definedName name="itpentasp" localSheetId="0">#REF!</definedName>
    <definedName name="itpentasp">#REF!</definedName>
    <definedName name="ITR" localSheetId="0">#REF!</definedName>
    <definedName name="ITR">#REF!</definedName>
    <definedName name="ITR_J" localSheetId="0">#REF!</definedName>
    <definedName name="ITR_J">#REF!</definedName>
    <definedName name="ITR_M" localSheetId="0">#REF!</definedName>
    <definedName name="ITR_M">#REF!</definedName>
    <definedName name="ITR_S" localSheetId="0">#REF!</definedName>
    <definedName name="ITR_S">#REF!</definedName>
    <definedName name="ITRJ" localSheetId="0">#REF!</definedName>
    <definedName name="ITRJ">#REF!</definedName>
    <definedName name="ITRM" localSheetId="0">#REF!</definedName>
    <definedName name="ITRM">#REF!</definedName>
    <definedName name="ITRS" localSheetId="0">#REF!</definedName>
    <definedName name="ITRS">#REF!</definedName>
    <definedName name="itvapor" localSheetId="0">#REF!</definedName>
    <definedName name="itvapor">#REF!</definedName>
    <definedName name="JAN" localSheetId="0">#REF!</definedName>
    <definedName name="JAN">#REF!</definedName>
    <definedName name="joo" localSheetId="0">#REF!</definedName>
    <definedName name="joo">#REF!</definedName>
    <definedName name="JUDICIAIS" localSheetId="0">#REF!</definedName>
    <definedName name="JUDICIAIS">#REF!</definedName>
    <definedName name="JUL" localSheetId="0">#REF!</definedName>
    <definedName name="JUL">#REF!</definedName>
    <definedName name="JUN" localSheetId="0">#REF!</definedName>
    <definedName name="JUN">#REF!</definedName>
    <definedName name="klj">{"'COMBUSTÍVEIS'!$A$1:$K$88"}</definedName>
    <definedName name="L." localSheetId="0">#REF!</definedName>
    <definedName name="L.">#REF!</definedName>
    <definedName name="L._REAL_CONTRIB" localSheetId="0">#REF!</definedName>
    <definedName name="L._REAL_CONTRIB">#REF!</definedName>
    <definedName name="L.EXPL." localSheetId="0">#REF!</definedName>
    <definedName name="L.EXPL.">#REF!</definedName>
    <definedName name="L.INFL." localSheetId="0">#REF!</definedName>
    <definedName name="L.INFL.">#REF!</definedName>
    <definedName name="L.REAL" localSheetId="0">#REF!</definedName>
    <definedName name="L.REAL">#REF!</definedName>
    <definedName name="LANC" localSheetId="0">#REF!</definedName>
    <definedName name="LANC">#REF!</definedName>
    <definedName name="LANC1" localSheetId="0">#REF!</definedName>
    <definedName name="LANC1">#REF!</definedName>
    <definedName name="LC_M" localSheetId="0">#REF!</definedName>
    <definedName name="LC_M">#REF!</definedName>
    <definedName name="LE_M" localSheetId="0">#REF!</definedName>
    <definedName name="LE_M">#REF!</definedName>
    <definedName name="LI_A" localSheetId="0">#REF!</definedName>
    <definedName name="LI_A">#REF!</definedName>
    <definedName name="LI_M" localSheetId="0">#REF!</definedName>
    <definedName name="LI_M">#REF!</definedName>
    <definedName name="LI_R" localSheetId="0">#REF!</definedName>
    <definedName name="LI_R">#REF!</definedName>
    <definedName name="Lista0">'[2]CALC-RESUMO'!$A$6:$W$37</definedName>
    <definedName name="lista1">'[2]CALC-RESUMO'!$AA$3:$AV$34</definedName>
    <definedName name="LL" localSheetId="0">#REF!</definedName>
    <definedName name="LL">#REF!</definedName>
    <definedName name="LO_D_PI" localSheetId="0">#REF!</definedName>
    <definedName name="LO_D_PI">#REF!</definedName>
    <definedName name="LO_T_PI" localSheetId="0">#REF!</definedName>
    <definedName name="LO_T_PI">#REF!</definedName>
    <definedName name="LR_M" localSheetId="0">#REF!</definedName>
    <definedName name="LR_M">#REF!</definedName>
    <definedName name="LRANO" localSheetId="0">#REF!</definedName>
    <definedName name="LRANO">#REF!</definedName>
    <definedName name="LS_1" localSheetId="0">#REF!</definedName>
    <definedName name="LS_1">#REF!</definedName>
    <definedName name="LS_10" localSheetId="0">#REF!</definedName>
    <definedName name="LS_10">#REF!</definedName>
    <definedName name="LS_11" localSheetId="0">#REF!</definedName>
    <definedName name="LS_11">#REF!</definedName>
    <definedName name="LS_12" localSheetId="0">#REF!</definedName>
    <definedName name="LS_12">#REF!</definedName>
    <definedName name="LS_2" localSheetId="0">#REF!</definedName>
    <definedName name="LS_2">#REF!</definedName>
    <definedName name="LS_3" localSheetId="0">#REF!</definedName>
    <definedName name="LS_3">#REF!</definedName>
    <definedName name="LS_4" localSheetId="0">#REF!</definedName>
    <definedName name="LS_4">#REF!</definedName>
    <definedName name="LS_5" localSheetId="0">#REF!</definedName>
    <definedName name="LS_5">#REF!</definedName>
    <definedName name="LS_6" localSheetId="0">#REF!</definedName>
    <definedName name="LS_6">#REF!</definedName>
    <definedName name="LS_7" localSheetId="0">#REF!</definedName>
    <definedName name="LS_7">#REF!</definedName>
    <definedName name="LS_8" localSheetId="0">#REF!</definedName>
    <definedName name="LS_8">#REF!</definedName>
    <definedName name="LS_9" localSheetId="0">#REF!</definedName>
    <definedName name="LS_9">#REF!</definedName>
    <definedName name="LS_A" localSheetId="0">#REF!</definedName>
    <definedName name="LS_A">#REF!</definedName>
    <definedName name="LS_IRDA" localSheetId="0">#REF!</definedName>
    <definedName name="LS_IRDA">#REF!</definedName>
    <definedName name="LS_IRDM" localSheetId="0">#REF!</definedName>
    <definedName name="LS_IRDM">#REF!</definedName>
    <definedName name="LS_M" localSheetId="0">#REF!</definedName>
    <definedName name="LS_M">#REF!</definedName>
    <definedName name="LTCelpe" localSheetId="0">#REF!</definedName>
    <definedName name="LTCelpe">#REF!</definedName>
    <definedName name="Luiz" localSheetId="0">#REF!</definedName>
    <definedName name="Luiz">#REF!</definedName>
    <definedName name="M_1" localSheetId="0">#REF!</definedName>
    <definedName name="M_1">#REF!</definedName>
    <definedName name="M_10" localSheetId="0">#REF!</definedName>
    <definedName name="M_10">#REF!</definedName>
    <definedName name="M_11" localSheetId="0">#REF!</definedName>
    <definedName name="M_11">#REF!</definedName>
    <definedName name="M_12" localSheetId="0">#REF!</definedName>
    <definedName name="M_12">#REF!</definedName>
    <definedName name="M_2" localSheetId="0">#REF!</definedName>
    <definedName name="M_2">#REF!</definedName>
    <definedName name="M_3" localSheetId="0">#REF!</definedName>
    <definedName name="M_3">#REF!</definedName>
    <definedName name="M_4" localSheetId="0">#REF!</definedName>
    <definedName name="M_4">#REF!</definedName>
    <definedName name="M_5" localSheetId="0">#REF!</definedName>
    <definedName name="M_5">#REF!</definedName>
    <definedName name="M_6" localSheetId="0">#REF!</definedName>
    <definedName name="M_6">#REF!</definedName>
    <definedName name="M_7" localSheetId="0">#REF!</definedName>
    <definedName name="M_7">#REF!</definedName>
    <definedName name="M_8" localSheetId="0">#REF!</definedName>
    <definedName name="M_8">#REF!</definedName>
    <definedName name="M_9" localSheetId="0">#REF!</definedName>
    <definedName name="M_9">#REF!</definedName>
    <definedName name="MACROS" localSheetId="0">#REF!</definedName>
    <definedName name="MACROS">#REF!</definedName>
    <definedName name="magnus" localSheetId="0">#REF!</definedName>
    <definedName name="magnus">#REF!</definedName>
    <definedName name="magnus1" localSheetId="0">#REF!</definedName>
    <definedName name="magnus1">#REF!</definedName>
    <definedName name="magnus2" localSheetId="0">#REF!</definedName>
    <definedName name="magnus2">#REF!</definedName>
    <definedName name="magnus3" localSheetId="0">#REF!</definedName>
    <definedName name="magnus3">#REF!</definedName>
    <definedName name="magnus4" localSheetId="0">#REF!</definedName>
    <definedName name="magnus4">#REF!</definedName>
    <definedName name="magnus5" localSheetId="0">#REF!</definedName>
    <definedName name="magnus5">#REF!</definedName>
    <definedName name="MAI" localSheetId="0">#REF!</definedName>
    <definedName name="MAI">#REF!</definedName>
    <definedName name="manoel" localSheetId="0">#REF!</definedName>
    <definedName name="manoel">#REF!</definedName>
    <definedName name="MAPA" localSheetId="0">#REF!</definedName>
    <definedName name="MAPA">#REF!</definedName>
    <definedName name="MAR" localSheetId="0">#REF!</definedName>
    <definedName name="MAR">#REF!</definedName>
    <definedName name="marcelo" localSheetId="0">#REF!</definedName>
    <definedName name="marcelo">#REF!</definedName>
    <definedName name="MARGEM" localSheetId="0">#REF!</definedName>
    <definedName name="MARGEM">#REF!</definedName>
    <definedName name="MaTRIZ">[3]Plan1!$A$1:$G$412</definedName>
    <definedName name="MEMO" localSheetId="0">#REF!</definedName>
    <definedName name="MEMO">#REF!</definedName>
    <definedName name="MEMORIA">{#N/A,#N/A,FALSE,"Aging Summary";#N/A,#N/A,FALSE,"Ratio Analysis";#N/A,#N/A,FALSE,"Test 120 Day Accts";#N/A,#N/A,FALSE,"Tickmarks"}</definedName>
    <definedName name="MEN" localSheetId="0">#REF!</definedName>
    <definedName name="MEN">#REF!</definedName>
    <definedName name="MEN1A" localSheetId="0">#REF!</definedName>
    <definedName name="MEN1A">#REF!</definedName>
    <definedName name="MEN1B" localSheetId="0">#REF!</definedName>
    <definedName name="MEN1B">#REF!</definedName>
    <definedName name="MEN2A" localSheetId="0">#REF!</definedName>
    <definedName name="MEN2A">#REF!</definedName>
    <definedName name="MEN2B" localSheetId="0">#REF!</definedName>
    <definedName name="MEN2B">#REF!</definedName>
    <definedName name="MEN5A" localSheetId="0">#REF!</definedName>
    <definedName name="MEN5A">#REF!</definedName>
    <definedName name="MEN5B" localSheetId="0">#REF!</definedName>
    <definedName name="MEN5B">#REF!</definedName>
    <definedName name="MENSAL" localSheetId="0">#REF!</definedName>
    <definedName name="MENSAL">#REF!</definedName>
    <definedName name="MENU" localSheetId="0">#REF!</definedName>
    <definedName name="MENU">#REF!</definedName>
    <definedName name="MENU1" localSheetId="0">#REF!</definedName>
    <definedName name="MENU1">#REF!</definedName>
    <definedName name="MENU1A" localSheetId="0">#REF!</definedName>
    <definedName name="MENU1A">#REF!</definedName>
    <definedName name="MENU1B" localSheetId="0">#REF!</definedName>
    <definedName name="MENU1B">#REF!</definedName>
    <definedName name="MENU2" localSheetId="0">#REF!</definedName>
    <definedName name="MENU2">#REF!</definedName>
    <definedName name="MENU2A" localSheetId="0">#REF!</definedName>
    <definedName name="MENU2A">#REF!</definedName>
    <definedName name="MENU2B" localSheetId="0">#REF!</definedName>
    <definedName name="MENU2B">#REF!</definedName>
    <definedName name="MENU3" localSheetId="0">#REF!</definedName>
    <definedName name="MENU3">#REF!</definedName>
    <definedName name="MENU4" localSheetId="0">#REF!</definedName>
    <definedName name="MENU4">#REF!</definedName>
    <definedName name="MENU5" localSheetId="0">#REF!</definedName>
    <definedName name="MENU5">#REF!</definedName>
    <definedName name="MENU5A" localSheetId="0">#REF!</definedName>
    <definedName name="MENU5A">#REF!</definedName>
    <definedName name="MENU5B" localSheetId="0">#REF!</definedName>
    <definedName name="MENU5B">#REF!</definedName>
    <definedName name="MES" localSheetId="0">#REF!</definedName>
    <definedName name="MES">#REF!</definedName>
    <definedName name="METANOR" localSheetId="0">#REF!</definedName>
    <definedName name="METANOR">#REF!</definedName>
    <definedName name="MHexa" localSheetId="0">#REF!</definedName>
    <definedName name="MHexa">#REF!</definedName>
    <definedName name="MM" localSheetId="0">#REF!</definedName>
    <definedName name="MM">#REF!</definedName>
    <definedName name="MM_1" localSheetId="0">#REF!</definedName>
    <definedName name="MM_1">#REF!</definedName>
    <definedName name="mmm">[4]lead!$I$38</definedName>
    <definedName name="mmreeee" localSheetId="0">#REF!</definedName>
    <definedName name="mmreeee">#REF!</definedName>
    <definedName name="MOEDAANO" localSheetId="0">#REF!</definedName>
    <definedName name="MOEDAANO">#REF!</definedName>
    <definedName name="MOEDAMES" localSheetId="0">#REF!</definedName>
    <definedName name="MOEDAMES">#REF!</definedName>
    <definedName name="MOEDANOB" localSheetId="0">#REF!</definedName>
    <definedName name="MOEDANOB">#REF!</definedName>
    <definedName name="MOEDMESB" localSheetId="0">#REF!</definedName>
    <definedName name="MOEDMESB">#REF!</definedName>
    <definedName name="Monetary_Precision" localSheetId="0">#REF!</definedName>
    <definedName name="Monetary_Precision">#REF!</definedName>
    <definedName name="MONTACI" localSheetId="0">#REF!</definedName>
    <definedName name="MONTACI">#REF!</definedName>
    <definedName name="MPenta" localSheetId="0">#REF!</definedName>
    <definedName name="MPenta">#REF!</definedName>
    <definedName name="mrirrr" localSheetId="0">#REF!</definedName>
    <definedName name="mrirrr">#REF!</definedName>
    <definedName name="mshexa" localSheetId="0">#REF!</definedName>
    <definedName name="mshexa">#REF!</definedName>
    <definedName name="msmono" localSheetId="0">#REF!</definedName>
    <definedName name="msmono">#REF!</definedName>
    <definedName name="mspenta" localSheetId="0">#REF!</definedName>
    <definedName name="mspenta">#REF!</definedName>
    <definedName name="MU_D_PI" localSheetId="0">#REF!</definedName>
    <definedName name="MU_D_PI">#REF!</definedName>
    <definedName name="MU_D_PP" localSheetId="0">#REF!</definedName>
    <definedName name="MU_D_PP">#REF!</definedName>
    <definedName name="MU_T_PI" localSheetId="0">#REF!</definedName>
    <definedName name="MU_T_PI">#REF!</definedName>
    <definedName name="MU_T_PP" localSheetId="0">#REF!</definedName>
    <definedName name="MU_T_PP">#REF!</definedName>
    <definedName name="n">[3]Plan1!$C$17:$V$17</definedName>
    <definedName name="NCCL" localSheetId="0">#REF!</definedName>
    <definedName name="NCCL">#REF!</definedName>
    <definedName name="NN" localSheetId="0">#REF!</definedName>
    <definedName name="NN">#REF!</definedName>
    <definedName name="nnn" localSheetId="0">#REF!</definedName>
    <definedName name="nnn">#REF!</definedName>
    <definedName name="nomeforn" localSheetId="0">#REF!</definedName>
    <definedName name="nomeforn">#REF!</definedName>
    <definedName name="NOPLAT" localSheetId="0">#REF!</definedName>
    <definedName name="NOPLAT">#REF!</definedName>
    <definedName name="NOV" localSheetId="0">#REF!</definedName>
    <definedName name="NOV">#REF!</definedName>
    <definedName name="OPCAO" localSheetId="0">#REF!</definedName>
    <definedName name="OPCAO">#REF!</definedName>
    <definedName name="OPÇAO" localSheetId="0">#REF!</definedName>
    <definedName name="OPÇAO">#REF!</definedName>
    <definedName name="OPCAO1" localSheetId="0">#REF!</definedName>
    <definedName name="OPCAO1">#REF!</definedName>
    <definedName name="OPÇAO1" localSheetId="0">#REF!</definedName>
    <definedName name="OPÇAO1">#REF!</definedName>
    <definedName name="OPCAO2" localSheetId="0">#REF!</definedName>
    <definedName name="OPCAO2">#REF!</definedName>
    <definedName name="OPTICAL_EQUIPMENTS">[3]Plan1!$A$2:$F$248</definedName>
    <definedName name="Orçamento_Previsto_em_Nov98" localSheetId="0">#REF!</definedName>
    <definedName name="Orçamento_Previsto_em_Nov98">#REF!</definedName>
    <definedName name="Orçamento_Previsto_em_valor_desejado" localSheetId="0">#REF!</definedName>
    <definedName name="Orçamento_Previsto_em_valor_desejado">#REF!</definedName>
    <definedName name="Orçamento_Previsto_x_Realizado" localSheetId="0">#REF!</definedName>
    <definedName name="Orçamento_Previsto_x_Realizado">#REF!</definedName>
    <definedName name="Orçamento_Realizado_em_Moeda_Constante" localSheetId="0">#REF!</definedName>
    <definedName name="Orçamento_Realizado_em_Moeda_Constante">#REF!</definedName>
    <definedName name="Orçamento_Realizado_em_Moeda_Desejada" localSheetId="0">#REF!</definedName>
    <definedName name="Orçamento_Realizado_em_Moeda_Desejada">#REF!</definedName>
    <definedName name="ORIGANO" localSheetId="0">#REF!</definedName>
    <definedName name="ORIGANO">#REF!</definedName>
    <definedName name="ORIGANOB" localSheetId="0">#REF!</definedName>
    <definedName name="ORIGANOB">#REF!</definedName>
    <definedName name="ORIGMES" localSheetId="0">#REF!</definedName>
    <definedName name="ORIGMES">#REF!</definedName>
    <definedName name="ORIGMESB" localSheetId="0">#REF!</definedName>
    <definedName name="ORIGMESB">#REF!</definedName>
    <definedName name="OUCTASLP" localSheetId="0">#REF!</definedName>
    <definedName name="OUCTASLP">#REF!</definedName>
    <definedName name="OUT" localSheetId="0">#REF!</definedName>
    <definedName name="OUT">#REF!</definedName>
    <definedName name="OUT_INFORM" localSheetId="0">#REF!</definedName>
    <definedName name="OUT_INFORM">#REF!</definedName>
    <definedName name="OUTRASRECEBER" localSheetId="0">#REF!</definedName>
    <definedName name="OUTRASRECEBER">#REF!</definedName>
    <definedName name="OUTROS2" localSheetId="0">#REF!</definedName>
    <definedName name="OUTROS2">#REF!</definedName>
    <definedName name="OUTROS3" localSheetId="0">#REF!</definedName>
    <definedName name="OUTROS3">#REF!</definedName>
    <definedName name="OUTROS4" localSheetId="0">#REF!</definedName>
    <definedName name="OUTROS4">#REF!</definedName>
    <definedName name="OUTROSCRED" localSheetId="0">#REF!</definedName>
    <definedName name="OUTROSCRED">#REF!</definedName>
    <definedName name="OUTROSIMOBIL" localSheetId="0">#REF!</definedName>
    <definedName name="OUTROSIMOBIL">#REF!</definedName>
    <definedName name="OUTROSLP" localSheetId="0">#REF!</definedName>
    <definedName name="OUTROSLP">#REF!</definedName>
    <definedName name="P.A.T." localSheetId="0">#REF!</definedName>
    <definedName name="P.A.T.">#REF!</definedName>
    <definedName name="paa">{#N/A,#N/A,FALSE,"Aging Summary";#N/A,#N/A,FALSE,"Ratio Analysis";#N/A,#N/A,FALSE,"Test 120 Day Accts";#N/A,#N/A,FALSE,"Tickmarks"}</definedName>
    <definedName name="PABLO" localSheetId="0">#REF!</definedName>
    <definedName name="PABLO">#REF!</definedName>
    <definedName name="PAGE1" localSheetId="0">#REF!</definedName>
    <definedName name="PAGE1">#REF!</definedName>
    <definedName name="PARADA_REV" localSheetId="0">#REF!</definedName>
    <definedName name="PARADA_REV">#REF!</definedName>
    <definedName name="PASSIVO" localSheetId="0">#REF!</definedName>
    <definedName name="PASSIVO">#REF!</definedName>
    <definedName name="PI_PF" localSheetId="0">#REF!</definedName>
    <definedName name="PI_PF">#REF!</definedName>
    <definedName name="PI_PP" localSheetId="0">#REF!</definedName>
    <definedName name="PI_PP">#REF!</definedName>
    <definedName name="pIS" localSheetId="0">#REF!</definedName>
    <definedName name="pIS">#REF!</definedName>
    <definedName name="PIS_INSS" localSheetId="0">#REF!</definedName>
    <definedName name="PIS_INSS">#REF!</definedName>
    <definedName name="portador" localSheetId="0">#REF!</definedName>
    <definedName name="portador">#REF!</definedName>
    <definedName name="PP_PF" localSheetId="0">#REF!</definedName>
    <definedName name="PP_PF">#REF!</definedName>
    <definedName name="PREJ.FISC." localSheetId="0">#REF!</definedName>
    <definedName name="PREJ.FISC.">#REF!</definedName>
    <definedName name="PREJ92" localSheetId="0">#REF!</definedName>
    <definedName name="PREJ92">#REF!</definedName>
    <definedName name="PREJ93" localSheetId="0">#REF!</definedName>
    <definedName name="PREJ93">#REF!</definedName>
    <definedName name="Premissas" localSheetId="0">#REF!</definedName>
    <definedName name="Premissas">#REF!</definedName>
    <definedName name="PRES">{"'COMBUSTÍVEIS'!$A$1:$K$88"}</definedName>
    <definedName name="Previsão_Clientes_1999" localSheetId="0">#REF!</definedName>
    <definedName name="Previsão_Clientes_1999">#REF!</definedName>
    <definedName name="Previsão_Clientes_2000" localSheetId="0">#REF!</definedName>
    <definedName name="Previsão_Clientes_2000">#REF!</definedName>
    <definedName name="Previsão_Consumo_2000" localSheetId="0">#REF!</definedName>
    <definedName name="Previsão_Consumo_2000">#REF!</definedName>
    <definedName name="PRINT_AR01" localSheetId="0">#REF!</definedName>
    <definedName name="PRINT_AR01">#REF!</definedName>
    <definedName name="PRINT_AR03" localSheetId="0">#REF!</definedName>
    <definedName name="PRINT_AR03">#REF!</definedName>
    <definedName name="PRINT_AR04" localSheetId="0">#REF!</definedName>
    <definedName name="PRINT_AR04">#REF!</definedName>
    <definedName name="PRINT_AR05" localSheetId="0">#REF!</definedName>
    <definedName name="PRINT_AR05">#REF!</definedName>
    <definedName name="PRINT_AR06" localSheetId="0">#REF!</definedName>
    <definedName name="PRINT_AR06">#REF!</definedName>
    <definedName name="PRINT_AR07" localSheetId="0">#REF!</definedName>
    <definedName name="PRINT_AR07">#REF!</definedName>
    <definedName name="PRINT_AR08" localSheetId="0">#REF!</definedName>
    <definedName name="PRINT_AR08">#REF!</definedName>
    <definedName name="PRINT_AR09" localSheetId="0">#REF!</definedName>
    <definedName name="PRINT_AR09">#REF!</definedName>
    <definedName name="PRINT_AR10" localSheetId="0">#REF!</definedName>
    <definedName name="PRINT_AR10">#REF!</definedName>
    <definedName name="PRINT_AR11" localSheetId="0">#REF!</definedName>
    <definedName name="PRINT_AR11">#REF!</definedName>
    <definedName name="PRINT_AR14" localSheetId="0">#REF!</definedName>
    <definedName name="PRINT_AR14">#REF!</definedName>
    <definedName name="Print_Area_0" localSheetId="4">'BP Rev Analítica'!$A$1:$AA$61</definedName>
    <definedName name="Print_Area_0" localSheetId="5">'DRE Rev Analítica'!$A$1:$M$59</definedName>
    <definedName name="Print_Area_0_0" localSheetId="4">'BP Rev Analítica'!$A$1:$AA$61</definedName>
    <definedName name="Print_Area_0_0" localSheetId="5">'DRE Rev Analítica'!$A$1:$M$59</definedName>
    <definedName name="Print_Area_0_0" localSheetId="0">'Orçamento 2020'!$B$8:$L$63,'Orçamento 2020'!$B$65:$L$159</definedName>
    <definedName name="PRINT_AREA_MI" localSheetId="0">#REF!</definedName>
    <definedName name="PRINT_AREA_MI">#REF!</definedName>
    <definedName name="PRINT_TITL01" localSheetId="0">#REF!</definedName>
    <definedName name="PRINT_TITL01">#REF!</definedName>
    <definedName name="Print_Titles_0" localSheetId="0">'Orçamento 2020'!$1:$7</definedName>
    <definedName name="Print_Titles_0_0" localSheetId="0">'Orçamento 2020'!$1:$7</definedName>
    <definedName name="proll" localSheetId="0">#REF!</definedName>
    <definedName name="proll">#REF!</definedName>
    <definedName name="PTS" localSheetId="0">#REF!</definedName>
    <definedName name="PTS">#REF!</definedName>
    <definedName name="PY_all_Income" localSheetId="0">#REF!</definedName>
    <definedName name="PY_all_Income">#REF!</definedName>
    <definedName name="PY_all_RetEarn" localSheetId="0">#REF!</definedName>
    <definedName name="PY_all_RetEarn">#REF!</definedName>
    <definedName name="PY_Commitments_in_favour_of_credit_institutions" localSheetId="0">#REF!</definedName>
    <definedName name="PY_Commitments_in_favour_of_credit_institutions">#REF!</definedName>
    <definedName name="PY_Commitments_in_favour_of_customers" localSheetId="0">#REF!</definedName>
    <definedName name="PY_Commitments_in_favour_of_customers">#REF!</definedName>
    <definedName name="PY_Commitments_in_respect_of_securities" localSheetId="0">#REF!</definedName>
    <definedName name="PY_Commitments_in_respect_of_securities">#REF!</definedName>
    <definedName name="PY_Commitments_received_from_credit_institutions" localSheetId="0">#REF!</definedName>
    <definedName name="PY_Commitments_received_from_credit_institutions">#REF!</definedName>
    <definedName name="PY_Financing_commitments" localSheetId="0">#REF!</definedName>
    <definedName name="PY_Financing_commitments">#REF!</definedName>
    <definedName name="PY_Guarantees" localSheetId="0">#REF!</definedName>
    <definedName name="PY_Guarantees">#REF!</definedName>
    <definedName name="PY_Guarantees_in_respect_of_securities" localSheetId="0">#REF!</definedName>
    <definedName name="PY_Guarantees_in_respect_of_securities">#REF!</definedName>
    <definedName name="PY_Guarantees_received_from_credit_institutions" localSheetId="0">#REF!</definedName>
    <definedName name="PY_Guarantees_received_from_credit_institutions">#REF!</definedName>
    <definedName name="PY_Guarantees_to_credit_institutions" localSheetId="0">#REF!</definedName>
    <definedName name="PY_Guarantees_to_credit_institutions">#REF!</definedName>
    <definedName name="PY_knw_Income" localSheetId="0">#REF!</definedName>
    <definedName name="PY_knw_Income">#REF!</definedName>
    <definedName name="PY_knw_RetEarn" localSheetId="0">#REF!</definedName>
    <definedName name="PY_knw_RetEarn">#REF!</definedName>
    <definedName name="PY_Other_commitments_given" localSheetId="0">#REF!</definedName>
    <definedName name="PY_Other_commitments_given">#REF!</definedName>
    <definedName name="PY_Other_commitments_received" localSheetId="0">#REF!</definedName>
    <definedName name="PY_Other_commitments_received">#REF!</definedName>
    <definedName name="PY_Securities_acquired_with_an_option_to_repurchase_or_take_back" localSheetId="0">#REF!</definedName>
    <definedName name="PY_Securities_acquired_with_an_option_to_repurchase_or_take_back">#REF!</definedName>
    <definedName name="PY_Securities_sold_with_an_option_to_repurchase_or_take_back" localSheetId="0">#REF!</definedName>
    <definedName name="PY_Securities_sold_with_an_option_to_repurchase_or_take_back">#REF!</definedName>
    <definedName name="PY_TOTAL_COMMITMENTS_RECEIVED" localSheetId="0">#REF!</definedName>
    <definedName name="PY_TOTAL_COMMITMENTS_RECEIVED">#REF!</definedName>
    <definedName name="PY_TOTAL_CONTINGENT_LIABILITIES" localSheetId="0">#REF!</definedName>
    <definedName name="PY_TOTAL_CONTINGENT_LIABILITIES">#REF!</definedName>
    <definedName name="PY_tx_all_Income" localSheetId="0">#REF!</definedName>
    <definedName name="PY_tx_all_Income">#REF!</definedName>
    <definedName name="PY_tx_all_RetEarn" localSheetId="0">#REF!</definedName>
    <definedName name="PY_tx_all_RetEarn">#REF!</definedName>
    <definedName name="PY_tx_knw_Income" localSheetId="0">#REF!</definedName>
    <definedName name="PY_tx_knw_Income">#REF!</definedName>
    <definedName name="PY_tx_knw_RetEarn" localSheetId="0">#REF!</definedName>
    <definedName name="PY_tx_knw_RetEarn">#REF!</definedName>
    <definedName name="PY2_Commitments_in_favour_of_credit_institutions" localSheetId="0">#REF!</definedName>
    <definedName name="PY2_Commitments_in_favour_of_credit_institutions">#REF!</definedName>
    <definedName name="PY2_Commitments_in_favour_of_customers" localSheetId="0">#REF!</definedName>
    <definedName name="PY2_Commitments_in_favour_of_customers">#REF!</definedName>
    <definedName name="PY2_Commitments_in_respect_of_securities" localSheetId="0">#REF!</definedName>
    <definedName name="PY2_Commitments_in_respect_of_securities">#REF!</definedName>
    <definedName name="PY2_Commitments_received_from_credit_institutions" localSheetId="0">#REF!</definedName>
    <definedName name="PY2_Commitments_received_from_credit_institutions">#REF!</definedName>
    <definedName name="PY2_Financing_commitments" localSheetId="0">#REF!</definedName>
    <definedName name="PY2_Financing_commitments">#REF!</definedName>
    <definedName name="PY2_Guarantees" localSheetId="0">#REF!</definedName>
    <definedName name="PY2_Guarantees">#REF!</definedName>
    <definedName name="PY2_Guarantees_in_respect_of_securities" localSheetId="0">#REF!</definedName>
    <definedName name="PY2_Guarantees_in_respect_of_securities">#REF!</definedName>
    <definedName name="PY2_Guarantees_received_from_credit_institutions" localSheetId="0">#REF!</definedName>
    <definedName name="PY2_Guarantees_received_from_credit_institutions">#REF!</definedName>
    <definedName name="PY2_Guarantees_to_credit_institutions" localSheetId="0">#REF!</definedName>
    <definedName name="PY2_Guarantees_to_credit_institutions">#REF!</definedName>
    <definedName name="PY2_Other_commitments_given" localSheetId="0">#REF!</definedName>
    <definedName name="PY2_Other_commitments_given">#REF!</definedName>
    <definedName name="PY2_Other_commitments_received" localSheetId="0">#REF!</definedName>
    <definedName name="PY2_Other_commitments_received">#REF!</definedName>
    <definedName name="PY2_Securities_acquired_with_an_option_to_repurchase_or_take_back" localSheetId="0">#REF!</definedName>
    <definedName name="PY2_Securities_acquired_with_an_option_to_repurchase_or_take_back">#REF!</definedName>
    <definedName name="PY2_Securities_sold_with_an_option_to_repurchase_or_take_back" localSheetId="0">#REF!</definedName>
    <definedName name="PY2_Securities_sold_with_an_option_to_repurchase_or_take_back">#REF!</definedName>
    <definedName name="PY2_TOTAL_COMMITMENTS_RECEIVED" localSheetId="0">#REF!</definedName>
    <definedName name="PY2_TOTAL_COMMITMENTS_RECEIVED">#REF!</definedName>
    <definedName name="PY2_TOTAL_CONTINGENT_LIABILITIES" localSheetId="0">#REF!</definedName>
    <definedName name="PY2_TOTAL_CONTINGENT_LIABILITIES">#REF!</definedName>
    <definedName name="qqq" localSheetId="0">#REF!</definedName>
    <definedName name="qqq">#REF!</definedName>
    <definedName name="Questionamento_PIS_COFINS_Rec_Financeira" localSheetId="0">#REF!</definedName>
    <definedName name="Questionamento_PIS_COFINS_Rec_Financeira">#REF!</definedName>
    <definedName name="R_" localSheetId="0">#REF!</definedName>
    <definedName name="R_">#REF!</definedName>
    <definedName name="R_ESP." localSheetId="0">#REF!</definedName>
    <definedName name="R_ESP.">#REF!</definedName>
    <definedName name="R_Factor" localSheetId="0">#REF!</definedName>
    <definedName name="R_Factor">#REF!</definedName>
    <definedName name="REAIS" localSheetId="0">#REF!</definedName>
    <definedName name="REAIS">#REF!</definedName>
    <definedName name="Reais98" localSheetId="0">#REF!</definedName>
    <definedName name="Reais98">#REF!</definedName>
    <definedName name="REAL" localSheetId="0">#REF!</definedName>
    <definedName name="REAL">#REF!</definedName>
    <definedName name="Recbruta" localSheetId="0">#REF!</definedName>
    <definedName name="Recbruta">#REF!</definedName>
    <definedName name="receita2" localSheetId="0">#REF!</definedName>
    <definedName name="receita2">#REF!</definedName>
    <definedName name="Receitas_de_Juros_e_Multas_Atrasos" localSheetId="0">#REF!</definedName>
    <definedName name="Receitas_de_Juros_e_Multas_Atrasos">#REF!</definedName>
    <definedName name="RECUPERAR" localSheetId="0">#REF!</definedName>
    <definedName name="RECUPERAR">#REF!</definedName>
    <definedName name="redcfba" localSheetId="0">#REF!</definedName>
    <definedName name="redcfba">#REF!</definedName>
    <definedName name="redcfsp" localSheetId="0">#REF!</definedName>
    <definedName name="redcfsp">#REF!</definedName>
    <definedName name="REF" localSheetId="0">#REF!</definedName>
    <definedName name="REF">#REF!</definedName>
    <definedName name="Ref_1" localSheetId="0">#REF!</definedName>
    <definedName name="Ref_1">#REF!</definedName>
    <definedName name="Ref_11" localSheetId="0">#REF!</definedName>
    <definedName name="Ref_11">#REF!</definedName>
    <definedName name="Ref_12" localSheetId="0">#REF!</definedName>
    <definedName name="Ref_12">#REF!</definedName>
    <definedName name="Ref_13" localSheetId="0">#REF!</definedName>
    <definedName name="Ref_13">#REF!</definedName>
    <definedName name="Ref_14" localSheetId="0">#REF!</definedName>
    <definedName name="Ref_14">#REF!</definedName>
    <definedName name="Ref_15" localSheetId="0">#REF!</definedName>
    <definedName name="Ref_15">#REF!</definedName>
    <definedName name="Ref_2" localSheetId="0">#REF!</definedName>
    <definedName name="Ref_2">#REF!</definedName>
    <definedName name="Ref_3" localSheetId="0">#REF!</definedName>
    <definedName name="Ref_3">#REF!</definedName>
    <definedName name="Ref_5" localSheetId="0">#REF!</definedName>
    <definedName name="Ref_5">#REF!</definedName>
    <definedName name="Ref_6" localSheetId="0">#REF!</definedName>
    <definedName name="Ref_6">#REF!</definedName>
    <definedName name="Ref_7" localSheetId="0">#REF!</definedName>
    <definedName name="Ref_7">#REF!</definedName>
    <definedName name="Ref_8" localSheetId="0">#REF!</definedName>
    <definedName name="Ref_8">#REF!</definedName>
    <definedName name="Ref_9" localSheetId="0">#REF!</definedName>
    <definedName name="Ref_9">#REF!</definedName>
    <definedName name="REM.DIR." localSheetId="0">#REF!</definedName>
    <definedName name="REM.DIR.">#REF!</definedName>
    <definedName name="Renegociações" localSheetId="0">#REF!</definedName>
    <definedName name="Renegociações">#REF!</definedName>
    <definedName name="Renovações_de_Contratos_de_Franqueados" localSheetId="0">#REF!</definedName>
    <definedName name="Renovações_de_Contratos_de_Franqueados">#REF!</definedName>
    <definedName name="RESCI" localSheetId="0">#REF!</definedName>
    <definedName name="RESCI">#REF!</definedName>
    <definedName name="Residual_difference" localSheetId="0">#REF!</definedName>
    <definedName name="Residual_difference">#REF!</definedName>
    <definedName name="RESU" localSheetId="0">#REF!</definedName>
    <definedName name="RESU">#REF!</definedName>
    <definedName name="RESULTADO" localSheetId="0">#REF!</definedName>
    <definedName name="RESULTADO">#REF!</definedName>
    <definedName name="RESULTADO1" localSheetId="0">#REF!</definedName>
    <definedName name="RESULTADO1">#REF!</definedName>
    <definedName name="RESULTADO5" localSheetId="0">#REF!</definedName>
    <definedName name="RESULTADO5">#REF!</definedName>
    <definedName name="RESULTMEDIA" localSheetId="0">#REF!</definedName>
    <definedName name="RESULTMEDIA">#REF!</definedName>
    <definedName name="RESUMO" localSheetId="0">#REF!</definedName>
    <definedName name="RESUMO">#REF!</definedName>
    <definedName name="Retorno" localSheetId="0">#REF!</definedName>
    <definedName name="Retorno">#REF!</definedName>
    <definedName name="rick" localSheetId="0">#REF!</definedName>
    <definedName name="rick">#REF!</definedName>
    <definedName name="ROT" localSheetId="0">#REF!</definedName>
    <definedName name="ROT">#REF!</definedName>
    <definedName name="RR_1" localSheetId="0">#REF!</definedName>
    <definedName name="RR_1">#REF!</definedName>
    <definedName name="RR_10" localSheetId="0">#REF!</definedName>
    <definedName name="RR_10">#REF!</definedName>
    <definedName name="RR_11" localSheetId="0">#REF!</definedName>
    <definedName name="RR_11">#REF!</definedName>
    <definedName name="RR_12" localSheetId="0">#REF!</definedName>
    <definedName name="RR_12">#REF!</definedName>
    <definedName name="RR_2" localSheetId="0">#REF!</definedName>
    <definedName name="RR_2">#REF!</definedName>
    <definedName name="RR_3" localSheetId="0">#REF!</definedName>
    <definedName name="RR_3">#REF!</definedName>
    <definedName name="RR_4" localSheetId="0">#REF!</definedName>
    <definedName name="RR_4">#REF!</definedName>
    <definedName name="RR_5" localSheetId="0">#REF!</definedName>
    <definedName name="RR_5">#REF!</definedName>
    <definedName name="RR_6" localSheetId="0">#REF!</definedName>
    <definedName name="RR_6">#REF!</definedName>
    <definedName name="RR_7" localSheetId="0">#REF!</definedName>
    <definedName name="RR_7">#REF!</definedName>
    <definedName name="RR_8" localSheetId="0">#REF!</definedName>
    <definedName name="RR_8">#REF!</definedName>
    <definedName name="RR_9" localSheetId="0">#REF!</definedName>
    <definedName name="RR_9">#REF!</definedName>
    <definedName name="RRP" localSheetId="0">#REF!</definedName>
    <definedName name="RRP">#REF!</definedName>
    <definedName name="rrr" localSheetId="0">#REF!</definedName>
    <definedName name="rrr">#REF!</definedName>
    <definedName name="s" localSheetId="0">#REF!</definedName>
    <definedName name="s">#REF!</definedName>
    <definedName name="S_AcctDes" localSheetId="0">#REF!</definedName>
    <definedName name="S_AcctDes">#REF!</definedName>
    <definedName name="S_Headings" localSheetId="0">#REF!</definedName>
    <definedName name="S_Headings">#REF!</definedName>
    <definedName name="S_RowNum" localSheetId="0">#REF!</definedName>
    <definedName name="S_RowNum">#REF!</definedName>
    <definedName name="sad" localSheetId="0">'[2]ativo e passivo'!#REF!</definedName>
    <definedName name="sad">'[2]ativo e passivo'!#REF!</definedName>
    <definedName name="SALDO" localSheetId="0">#REF!</definedName>
    <definedName name="SALDO">#REF!</definedName>
    <definedName name="sda" localSheetId="0">#REF!</definedName>
    <definedName name="sda">#REF!</definedName>
    <definedName name="SEG" localSheetId="0">#REF!</definedName>
    <definedName name="SEG">#REF!</definedName>
    <definedName name="SEGM" localSheetId="0">#REF!</definedName>
    <definedName name="SEGM">#REF!</definedName>
    <definedName name="SEGMANTO" localSheetId="0">#REF!</definedName>
    <definedName name="SEGMANTO">#REF!</definedName>
    <definedName name="SEGMENTAÇÃO" localSheetId="0">#REF!</definedName>
    <definedName name="SEGMENTAÇÃO">#REF!</definedName>
    <definedName name="SEGMENTO" localSheetId="0">#REF!</definedName>
    <definedName name="SEGMENTO">#REF!</definedName>
    <definedName name="SEGMENTOS" localSheetId="0">#REF!</definedName>
    <definedName name="SEGMENTOS">#REF!</definedName>
    <definedName name="SELIC" localSheetId="0">#REF!</definedName>
    <definedName name="SELIC">#REF!</definedName>
    <definedName name="SERVIÇOS" localSheetId="0">#REF!</definedName>
    <definedName name="SERVIÇOS">#REF!</definedName>
    <definedName name="SET" localSheetId="0">#REF!</definedName>
    <definedName name="SET">#REF!</definedName>
    <definedName name="SetTopCost">[3]Plan1!$F$17</definedName>
    <definedName name="SIP" localSheetId="0">#REF!</definedName>
    <definedName name="SIP">#REF!</definedName>
    <definedName name="SIPE" localSheetId="0">#REF!</definedName>
    <definedName name="SIPE">#REF!</definedName>
    <definedName name="sksjk" localSheetId="0">#REF!</definedName>
    <definedName name="sksjk">#REF!</definedName>
    <definedName name="SS" localSheetId="0">#REF!</definedName>
    <definedName name="SS">#REF!</definedName>
    <definedName name="sss" localSheetId="0">#REF!</definedName>
    <definedName name="sss">#REF!</definedName>
    <definedName name="status" localSheetId="0">#REF!</definedName>
    <definedName name="status">#REF!</definedName>
    <definedName name="SU_D_PI" localSheetId="0">#REF!</definedName>
    <definedName name="SU_D_PI">#REF!</definedName>
    <definedName name="SU_T_PI" localSheetId="0">#REF!</definedName>
    <definedName name="SU_T_PI">#REF!</definedName>
    <definedName name="TABELA" localSheetId="0">#REF!</definedName>
    <definedName name="TABELA">#REF!</definedName>
    <definedName name="TABELA1" localSheetId="0">#REF!</definedName>
    <definedName name="TABELA1">#REF!</definedName>
    <definedName name="TABLE" localSheetId="0">#REF!</definedName>
    <definedName name="TABLE">#REF!</definedName>
    <definedName name="TABUFIR" localSheetId="0">#REF!</definedName>
    <definedName name="TABUFIR">#REF!</definedName>
    <definedName name="TATAT">{#N/A,#N/A,FALSE,"Aging Summary";#N/A,#N/A,FALSE,"Ratio Analysis";#N/A,#N/A,FALSE,"Test 120 Day Accts";#N/A,#N/A,FALSE,"Tickmarks"}</definedName>
    <definedName name="Tax_Effect_Liabs" localSheetId="0">#REF!</definedName>
    <definedName name="Tax_Effect_Liabs">#REF!</definedName>
    <definedName name="Tax_Rate" localSheetId="0">#REF!</definedName>
    <definedName name="Tax_Rate">#REF!</definedName>
    <definedName name="taxa" localSheetId="0">#REF!</definedName>
    <definedName name="taxa">#REF!</definedName>
    <definedName name="taxaaplicaçao" localSheetId="0">#REF!</definedName>
    <definedName name="taxaaplicaçao">#REF!</definedName>
    <definedName name="taxadesconto" localSheetId="0">#REF!</definedName>
    <definedName name="taxadesconto">#REF!</definedName>
    <definedName name="TAXAS" localSheetId="0">#REF!</definedName>
    <definedName name="TAXAS">#REF!</definedName>
    <definedName name="TELA" localSheetId="0">#REF!</definedName>
    <definedName name="TELA">#REF!</definedName>
    <definedName name="TELA1" localSheetId="0">#REF!</definedName>
    <definedName name="TELA1">#REF!</definedName>
    <definedName name="TELA1.1" localSheetId="0">#REF!</definedName>
    <definedName name="TELA1.1">#REF!</definedName>
    <definedName name="TELA1.2" localSheetId="0">#REF!</definedName>
    <definedName name="TELA1.2">#REF!</definedName>
    <definedName name="TELA2" localSheetId="0">#REF!</definedName>
    <definedName name="TELA2">#REF!</definedName>
    <definedName name="TELA2.1" localSheetId="0">#REF!</definedName>
    <definedName name="TELA2.1">#REF!</definedName>
    <definedName name="TELA2.2" localSheetId="0">#REF!</definedName>
    <definedName name="TELA2.2">#REF!</definedName>
    <definedName name="TELA3" localSheetId="0">#REF!</definedName>
    <definedName name="TELA3">#REF!</definedName>
    <definedName name="TELA3A" localSheetId="0">#REF!</definedName>
    <definedName name="TELA3A">#REF!</definedName>
    <definedName name="TELA3B" localSheetId="0">#REF!</definedName>
    <definedName name="TELA3B">#REF!</definedName>
    <definedName name="TELA4" localSheetId="0">#REF!</definedName>
    <definedName name="TELA4">#REF!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1" localSheetId="0">#REF!</definedName>
    <definedName name="TextRefCopy11">#REF!</definedName>
    <definedName name="TextRefCopy12" localSheetId="0">#REF!</definedName>
    <definedName name="TextRefCopy12">#REF!</definedName>
    <definedName name="TextRefCopy13" localSheetId="0">#REF!</definedName>
    <definedName name="TextRefCopy13">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6" localSheetId="0">#REF!</definedName>
    <definedName name="TextRefCopy16">#REF!</definedName>
    <definedName name="TextRefCopy17" localSheetId="0">#REF!</definedName>
    <definedName name="TextRefCopy17">#REF!</definedName>
    <definedName name="TextRefCopy18" localSheetId="0">#REF!</definedName>
    <definedName name="TextRefCopy18">#REF!</definedName>
    <definedName name="TextRefCopy19" localSheetId="0">#REF!</definedName>
    <definedName name="TextRefCopy19">#REF!</definedName>
    <definedName name="TextRefCopy20" localSheetId="0">#REF!</definedName>
    <definedName name="TextRefCopy20">#REF!</definedName>
    <definedName name="TextRefCopy21" localSheetId="0">#REF!</definedName>
    <definedName name="TextRefCopy21">#REF!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4" localSheetId="0">#REF!</definedName>
    <definedName name="TextRefCopy24">#REF!</definedName>
    <definedName name="TextRefCopy25" localSheetId="0">#REF!</definedName>
    <definedName name="TextRefCopy25">#REF!</definedName>
    <definedName name="TextRefCopy26" localSheetId="0">#REF!</definedName>
    <definedName name="TextRefCopy26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0" localSheetId="0">#REF!</definedName>
    <definedName name="TextRefCopy30">#REF!</definedName>
    <definedName name="TextRefCopy31" localSheetId="0">#REF!</definedName>
    <definedName name="TextRefCopy31">#REF!</definedName>
    <definedName name="TextRefCopy32" localSheetId="0">#REF!</definedName>
    <definedName name="TextRefCopy32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35" localSheetId="0">#REF!</definedName>
    <definedName name="TextRefCopy35">#REF!</definedName>
    <definedName name="TextRefCopy36" localSheetId="0">#REF!</definedName>
    <definedName name="TextRefCopy36">#REF!</definedName>
    <definedName name="TextRefCopy37" localSheetId="0">#REF!</definedName>
    <definedName name="TextRefCopy37">#REF!</definedName>
    <definedName name="TextRefCopy38" localSheetId="0">#REF!</definedName>
    <definedName name="TextRefCopy38">#REF!</definedName>
    <definedName name="TextRefCopy39" localSheetId="0">#REF!</definedName>
    <definedName name="TextRefCopy39">#REF!</definedName>
    <definedName name="TextRefCopy4" localSheetId="0">#REF!</definedName>
    <definedName name="TextRefCopy4">#REF!</definedName>
    <definedName name="TextRefCopy40" localSheetId="0">#REF!</definedName>
    <definedName name="TextRefCopy40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 localSheetId="0">#REF!</definedName>
    <definedName name="TextRefCopy43">#REF!</definedName>
    <definedName name="TextRefCopy44" localSheetId="0">#REF!</definedName>
    <definedName name="TextRefCopy44">#REF!</definedName>
    <definedName name="TextRefCopy45" localSheetId="0">#REF!</definedName>
    <definedName name="TextRefCopy45">#REF!</definedName>
    <definedName name="TextRefCopy46" localSheetId="0">#REF!</definedName>
    <definedName name="TextRefCopy46">#REF!</definedName>
    <definedName name="TextRefCopy47" localSheetId="0">#REF!</definedName>
    <definedName name="TextRefCopy47">#REF!</definedName>
    <definedName name="TextRefCopy48" localSheetId="0">#REF!</definedName>
    <definedName name="TextRefCopy48">#REF!</definedName>
    <definedName name="TextRefCopy49" localSheetId="0">#REF!</definedName>
    <definedName name="TextRefCopy49">#REF!</definedName>
    <definedName name="TextRefCopy5" localSheetId="0">#REF!</definedName>
    <definedName name="TextRefCopy5">#REF!</definedName>
    <definedName name="TextRefCopy50" localSheetId="0">#REF!</definedName>
    <definedName name="TextRefCopy50">#REF!</definedName>
    <definedName name="TextRefCopy51" localSheetId="0">#REF!</definedName>
    <definedName name="TextRefCopy51">#REF!</definedName>
    <definedName name="TextRefCopy52" localSheetId="0">#REF!</definedName>
    <definedName name="TextRefCopy52">#REF!</definedName>
    <definedName name="TextRefCopy53" localSheetId="0">#REF!</definedName>
    <definedName name="TextRefCopy53">#REF!</definedName>
    <definedName name="TextRefCopy54" localSheetId="0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58" localSheetId="0">#REF!</definedName>
    <definedName name="TextRefCopy58">#REF!</definedName>
    <definedName name="TextRefCopy59" localSheetId="0">#REF!</definedName>
    <definedName name="TextRefCopy59">#REF!</definedName>
    <definedName name="TextRefCopy6" localSheetId="0">#REF!</definedName>
    <definedName name="TextRefCopy6">#REF!</definedName>
    <definedName name="TextRefCopy60" localSheetId="0">#REF!</definedName>
    <definedName name="TextRefCopy60">#REF!</definedName>
    <definedName name="TextRefCopy62" localSheetId="0">#REF!</definedName>
    <definedName name="TextRefCopy62">#REF!</definedName>
    <definedName name="TextRefCopy63" localSheetId="0">#REF!</definedName>
    <definedName name="TextRefCopy63">#REF!</definedName>
    <definedName name="TextRefCopy64" localSheetId="0">#REF!</definedName>
    <definedName name="TextRefCopy64">#REF!</definedName>
    <definedName name="TextRefCopy65" localSheetId="0">#REF!</definedName>
    <definedName name="TextRefCopy65">#REF!</definedName>
    <definedName name="TextRefCopy66" localSheetId="0">#REF!</definedName>
    <definedName name="TextRefCopy66">#REF!</definedName>
    <definedName name="TextRefCopy7" localSheetId="0">#REF!</definedName>
    <definedName name="TextRefCopy7">#REF!</definedName>
    <definedName name="TextRefCopy8" localSheetId="0">#REF!</definedName>
    <definedName name="TextRefCopy8">#REF!</definedName>
    <definedName name="TextRefCopy9" localSheetId="0">#REF!</definedName>
    <definedName name="TextRefCopy9">#REF!</definedName>
    <definedName name="TextRefCopyRangeCount">1</definedName>
    <definedName name="Threshold" localSheetId="0">#REF!</definedName>
    <definedName name="Threshold">#REF!</definedName>
    <definedName name="_xlnm.Print_Titles" localSheetId="0">'Orçamento 2020'!$1:$7</definedName>
    <definedName name="_xlnm.Print_Titles">#REF!</definedName>
    <definedName name="Tributos_Questionados" localSheetId="0">#REF!</definedName>
    <definedName name="Tributos_Questionados">#REF!</definedName>
    <definedName name="TRIMESTRE" localSheetId="0">#REF!</definedName>
    <definedName name="TRIMESTRE">#REF!</definedName>
    <definedName name="TTF93A" localSheetId="0">#REF!</definedName>
    <definedName name="TTF93A">#REF!</definedName>
    <definedName name="TTF94A" localSheetId="0">#REF!</definedName>
    <definedName name="TTF94A">#REF!</definedName>
    <definedName name="TTF95A" localSheetId="0">#REF!</definedName>
    <definedName name="TTF95A">#REF!</definedName>
    <definedName name="TTF96A" localSheetId="0">#REF!</definedName>
    <definedName name="TTF96A">#REF!</definedName>
    <definedName name="ttt" localSheetId="0">#REF!</definedName>
    <definedName name="ttt">#REF!</definedName>
    <definedName name="tudo" localSheetId="0">#REF!</definedName>
    <definedName name="tudo">#REF!</definedName>
    <definedName name="txvenmonsanto" localSheetId="0">#REF!</definedName>
    <definedName name="txvenmonsanto">#REF!</definedName>
    <definedName name="U" localSheetId="0">#REF!</definedName>
    <definedName name="U">#REF!</definedName>
    <definedName name="UFIR" localSheetId="0">#REF!</definedName>
    <definedName name="UFIR">#REF!</definedName>
    <definedName name="UFIR1" localSheetId="0">#REF!</definedName>
    <definedName name="UFIR1">#REF!</definedName>
    <definedName name="UFIR10" localSheetId="0">#REF!</definedName>
    <definedName name="UFIR10">#REF!</definedName>
    <definedName name="UFIR11" localSheetId="0">#REF!</definedName>
    <definedName name="UFIR11">#REF!</definedName>
    <definedName name="UFIR12" localSheetId="0">#REF!</definedName>
    <definedName name="UFIR12">#REF!</definedName>
    <definedName name="UFIR2" localSheetId="0">#REF!</definedName>
    <definedName name="UFIR2">#REF!</definedName>
    <definedName name="UFIR3" localSheetId="0">#REF!</definedName>
    <definedName name="UFIR3">#REF!</definedName>
    <definedName name="UFIR4" localSheetId="0">#REF!</definedName>
    <definedName name="UFIR4">#REF!</definedName>
    <definedName name="UFIR5" localSheetId="0">#REF!</definedName>
    <definedName name="UFIR5">#REF!</definedName>
    <definedName name="UFIR6" localSheetId="0">#REF!</definedName>
    <definedName name="UFIR6">#REF!</definedName>
    <definedName name="UFIR7" localSheetId="0">#REF!</definedName>
    <definedName name="UFIR7">#REF!</definedName>
    <definedName name="UFIR8" localSheetId="0">#REF!</definedName>
    <definedName name="UFIR8">#REF!</definedName>
    <definedName name="UFIR9" localSheetId="0">#REF!</definedName>
    <definedName name="UFIR9">#REF!</definedName>
    <definedName name="UN_D_PI" localSheetId="0">#REF!</definedName>
    <definedName name="UN_D_PI">#REF!</definedName>
    <definedName name="UN_D_PP" localSheetId="0">#REF!</definedName>
    <definedName name="UN_D_PP">#REF!</definedName>
    <definedName name="UN_T_PI" localSheetId="0">#REF!</definedName>
    <definedName name="UN_T_PI">#REF!</definedName>
    <definedName name="UN_T_PP" localSheetId="0">#REF!</definedName>
    <definedName name="UN_T_PP">#REF!</definedName>
    <definedName name="USMetanol03" localSheetId="0">#REF!</definedName>
    <definedName name="USMetanol03">#REF!</definedName>
    <definedName name="usmetanolba02" localSheetId="0">#REF!</definedName>
    <definedName name="usmetanolba02">#REF!</definedName>
    <definedName name="USMetanolba03" localSheetId="0">#REF!</definedName>
    <definedName name="USMetanolba03">#REF!</definedName>
    <definedName name="usmetanolsp02" localSheetId="0">#REF!</definedName>
    <definedName name="usmetanolsp02">#REF!</definedName>
    <definedName name="usmetanolsp03" localSheetId="0">#REF!</definedName>
    <definedName name="usmetanolsp03">#REF!</definedName>
    <definedName name="USPenta" localSheetId="0">#REF!</definedName>
    <definedName name="USPenta">#REF!</definedName>
    <definedName name="USPenta02" localSheetId="0">#REF!</definedName>
    <definedName name="USPenta02">#REF!</definedName>
    <definedName name="USPenta03" localSheetId="0">#REF!</definedName>
    <definedName name="USPenta03">#REF!</definedName>
    <definedName name="values" localSheetId="0">#REF!,#REF!,#REF!</definedName>
    <definedName name="values">#REF!,#REF!,#REF!</definedName>
    <definedName name="Vend1" localSheetId="0">#REF!</definedName>
    <definedName name="Vend1">#REF!</definedName>
    <definedName name="Vendas" localSheetId="0">#REF!</definedName>
    <definedName name="Vendas">#REF!</definedName>
    <definedName name="vformolsp02" localSheetId="0">#REF!</definedName>
    <definedName name="vformolsp02">#REF!</definedName>
    <definedName name="vformolsp03" localSheetId="0">#REF!</definedName>
    <definedName name="vformolsp03">#REF!</definedName>
    <definedName name="Viabiliz" localSheetId="0">#REF!</definedName>
    <definedName name="Viabiliz">#REF!</definedName>
    <definedName name="VOLT_MENU" localSheetId="0">#REF!</definedName>
    <definedName name="VOLT_MENU">#REF!</definedName>
    <definedName name="VP" localSheetId="0">#REF!</definedName>
    <definedName name="VP">#REF!</definedName>
    <definedName name="vpl" localSheetId="0">#REF!</definedName>
    <definedName name="vpl">#REF!</definedName>
    <definedName name="vv" localSheetId="0">[5]ativo!#REF!</definedName>
    <definedName name="vv">[5]ativo!#REF!</definedName>
    <definedName name="wrn.Aging._.and._.Trend._.Analysis." localSheetId="2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EXPENSES._.98._.US.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>{"Reais 99 MKT",#N/A,TRUE,"MKT";"Reais 99 BUSS",#N/A,TRUE,"BusOper";"Reais 99 TECH",#N/A,TRUE,"Tech";"Reais 99 LOCAL",#N/A,TRUE,"LocalProg";"Reais 99 GA",#N/A,TRUE,"G&amp;A";"Reais 99 CONSOL",#N/A,TRUE,"Consolidate"}</definedName>
    <definedName name="wrn.FINANCIAL._.MONTH.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WORK._.PAPER.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ww" localSheetId="0">#REF!</definedName>
    <definedName name="www">#REF!</definedName>
    <definedName name="xpaste4" localSheetId="0">#REF!</definedName>
    <definedName name="xpaste4">#REF!</definedName>
    <definedName name="XREF_COLUMN_22" localSheetId="0">#REF!</definedName>
    <definedName name="XREF_COLUMN_22">#REF!</definedName>
    <definedName name="XREF_COLUMN_23" localSheetId="0">#REF!</definedName>
    <definedName name="XREF_COLUMN_23">#REF!</definedName>
    <definedName name="XREF_COLUMN_24" localSheetId="0">#REF!</definedName>
    <definedName name="XREF_COLUMN_24">#REF!</definedName>
    <definedName name="XREF_COLUMN_30" localSheetId="0">#REF!</definedName>
    <definedName name="XREF_COLUMN_30">#REF!</definedName>
    <definedName name="XREF_COLUMN_31" localSheetId="0">#REF!</definedName>
    <definedName name="XREF_COLUMN_31">#REF!</definedName>
    <definedName name="XREF_COLUMN_32" localSheetId="0">#REF!</definedName>
    <definedName name="XREF_COLUMN_32">#REF!</definedName>
    <definedName name="XREF_COLUMN_33" localSheetId="0">#REF!</definedName>
    <definedName name="XREF_COLUMN_33">#REF!</definedName>
    <definedName name="XREF_COLUMN_34" localSheetId="0">#REF!</definedName>
    <definedName name="XREF_COLUMN_34">#REF!</definedName>
    <definedName name="XREF_COLUMN_36" localSheetId="0">#REF!</definedName>
    <definedName name="XREF_COLUMN_36">#REF!</definedName>
    <definedName name="XREF_COLUMN_39" localSheetId="0">#REF!</definedName>
    <definedName name="XREF_COLUMN_39">#REF!</definedName>
    <definedName name="XREF_COLUMN_42" localSheetId="0">#REF!</definedName>
    <definedName name="XREF_COLUMN_42">#REF!</definedName>
    <definedName name="XREF_COLUMN_47" localSheetId="0">#REF!</definedName>
    <definedName name="XREF_COLUMN_47">#REF!</definedName>
    <definedName name="XREF_COLUMN_48" localSheetId="0">#REF!</definedName>
    <definedName name="XREF_COLUMN_48">#REF!</definedName>
    <definedName name="XREF_COLUMN_49" localSheetId="0">#REF!</definedName>
    <definedName name="XREF_COLUMN_49">#REF!</definedName>
    <definedName name="XREF_COLUMN_50" localSheetId="0">#REF!</definedName>
    <definedName name="XREF_COLUMN_50">#REF!</definedName>
    <definedName name="XREF_COLUMN_51" localSheetId="0">#REF!</definedName>
    <definedName name="XREF_COLUMN_51">#REF!</definedName>
    <definedName name="XREF_COLUMN_52" localSheetId="0">#REF!</definedName>
    <definedName name="XREF_COLUMN_52">#REF!</definedName>
    <definedName name="XREF_COLUMN_53" localSheetId="0">#REF!</definedName>
    <definedName name="XREF_COLUMN_53">#REF!</definedName>
    <definedName name="XREF_COLUMN_7" localSheetId="0">#REF!</definedName>
    <definedName name="XREF_COLUMN_7">#REF!</definedName>
    <definedName name="xref3">7</definedName>
    <definedName name="xref4" localSheetId="0">#REF!</definedName>
    <definedName name="xref4">#REF!</definedName>
    <definedName name="xref6" localSheetId="0">#REF!</definedName>
    <definedName name="xref6">#REF!</definedName>
    <definedName name="xref7">69</definedName>
    <definedName name="xref9" localSheetId="0">#REF!</definedName>
    <definedName name="xref9">#REF!</definedName>
    <definedName name="XRefActiveRow" localSheetId="0">#REF!</definedName>
    <definedName name="XRefActiveRow">#REF!</definedName>
    <definedName name="XRefColumnsCount">1</definedName>
    <definedName name="XRefCopy10Row" localSheetId="0">#REF!</definedName>
    <definedName name="XRefCopy10Row">#REF!</definedName>
    <definedName name="XRefCopy11" localSheetId="0">#REF!</definedName>
    <definedName name="XRefCopy11">#REF!</definedName>
    <definedName name="XRefCopy11Row" localSheetId="0">#REF!</definedName>
    <definedName name="XRefCopy11Row">#REF!</definedName>
    <definedName name="XRefCopy12" localSheetId="0">#REF!</definedName>
    <definedName name="XRefCopy12">#REF!</definedName>
    <definedName name="XRefCopy12Row" localSheetId="0">#REF!</definedName>
    <definedName name="XRefCopy12Row">#REF!</definedName>
    <definedName name="XRefCopy13" localSheetId="0">#REF!</definedName>
    <definedName name="XRefCopy13">#REF!</definedName>
    <definedName name="XRefCopy13Row" localSheetId="0">#REF!</definedName>
    <definedName name="XRefCopy13Row">#REF!</definedName>
    <definedName name="XRefCopy14" localSheetId="0">#REF!</definedName>
    <definedName name="XRefCopy14">#REF!</definedName>
    <definedName name="XRefCopy14Row" localSheetId="0">#REF!</definedName>
    <definedName name="XRefCopy14Row">#REF!</definedName>
    <definedName name="XRefCopy15" localSheetId="0">#REF!</definedName>
    <definedName name="XRefCopy15">#REF!</definedName>
    <definedName name="XRefCopy15Row" localSheetId="0">#REF!</definedName>
    <definedName name="XRefCopy15Row">#REF!</definedName>
    <definedName name="XRefCopy16" localSheetId="0">#REF!</definedName>
    <definedName name="XRefCopy16">#REF!</definedName>
    <definedName name="XRefCopy16Row" localSheetId="0">#REF!</definedName>
    <definedName name="XRefCopy16Row">#REF!</definedName>
    <definedName name="XRefCopy17" localSheetId="0">#REF!</definedName>
    <definedName name="XRefCopy17">#REF!</definedName>
    <definedName name="XRefCopy17Row" localSheetId="0">#REF!</definedName>
    <definedName name="XRefCopy17Row">#REF!</definedName>
    <definedName name="XRefCopy18" localSheetId="0">#REF!</definedName>
    <definedName name="XRefCopy18">#REF!</definedName>
    <definedName name="XRefCopy18Row" localSheetId="0">#REF!</definedName>
    <definedName name="XRefCopy18Row">#REF!</definedName>
    <definedName name="XRefCopy19" localSheetId="0">#REF!</definedName>
    <definedName name="XRefCopy19">#REF!</definedName>
    <definedName name="XRefCopy19Row" localSheetId="0">#REF!</definedName>
    <definedName name="XRefCopy19Row">#REF!</definedName>
    <definedName name="XRefCopy1Row" localSheetId="0">#REF!</definedName>
    <definedName name="XRefCopy1Row">#REF!</definedName>
    <definedName name="XRefCopy20" localSheetId="0">#REF!</definedName>
    <definedName name="XRefCopy20">#REF!</definedName>
    <definedName name="XRefCopy20Row" localSheetId="0">#REF!</definedName>
    <definedName name="XRefCopy20Row">#REF!</definedName>
    <definedName name="XRefCopy21" localSheetId="0">#REF!</definedName>
    <definedName name="XRefCopy21">#REF!</definedName>
    <definedName name="XRefCopy21Row" localSheetId="0">#REF!</definedName>
    <definedName name="XRefCopy21Row">#REF!</definedName>
    <definedName name="XRefCopy22" localSheetId="0">#REF!</definedName>
    <definedName name="XRefCopy22">#REF!</definedName>
    <definedName name="XRefCopy22Row" localSheetId="0">#REF!</definedName>
    <definedName name="XRefCopy22Row">#REF!</definedName>
    <definedName name="XRefCopy23Row" localSheetId="0">#REF!</definedName>
    <definedName name="XRefCopy23Row">#REF!</definedName>
    <definedName name="XRefCopy24Row" localSheetId="0">#REF!</definedName>
    <definedName name="XRefCopy24Row">#REF!</definedName>
    <definedName name="XRefCopy25Row" localSheetId="0">#REF!</definedName>
    <definedName name="XRefCopy25Row">#REF!</definedName>
    <definedName name="XRefCopy26Row" localSheetId="0">#REF!</definedName>
    <definedName name="XRefCopy26Row">#REF!</definedName>
    <definedName name="XRefCopy28" localSheetId="0">#REF!</definedName>
    <definedName name="XRefCopy28">#REF!</definedName>
    <definedName name="XRefCopy28Row" localSheetId="0">#REF!</definedName>
    <definedName name="XRefCopy28Row">#REF!</definedName>
    <definedName name="XRefCopy29" localSheetId="0">#REF!</definedName>
    <definedName name="XRefCopy29">#REF!</definedName>
    <definedName name="XRefCopy29Row" localSheetId="0">#REF!</definedName>
    <definedName name="XRefCopy29Row">#REF!</definedName>
    <definedName name="XRefCopy2Row" localSheetId="0">#REF!</definedName>
    <definedName name="XRefCopy2Row">#REF!</definedName>
    <definedName name="XRefCopy30Row" localSheetId="0">#REF!</definedName>
    <definedName name="XRefCopy30Row">#REF!</definedName>
    <definedName name="XRefCopy31" localSheetId="0">#REF!</definedName>
    <definedName name="XRefCopy31">#REF!</definedName>
    <definedName name="XRefCopy31Row" localSheetId="0">#REF!</definedName>
    <definedName name="XRefCopy31Row">#REF!</definedName>
    <definedName name="XRefCopy32" localSheetId="0">#REF!</definedName>
    <definedName name="XRefCopy32">#REF!</definedName>
    <definedName name="XRefCopy32Row" localSheetId="0">#REF!</definedName>
    <definedName name="XRefCopy32Row">#REF!</definedName>
    <definedName name="XRefCopy33" localSheetId="0">#REF!</definedName>
    <definedName name="XRefCopy33">#REF!</definedName>
    <definedName name="XRefCopy33Row" localSheetId="0">#REF!</definedName>
    <definedName name="XRefCopy33Row">#REF!</definedName>
    <definedName name="XRefCopy34" localSheetId="0">#REF!</definedName>
    <definedName name="XRefCopy34">#REF!</definedName>
    <definedName name="XRefCopy34Row" localSheetId="0">#REF!</definedName>
    <definedName name="XRefCopy34Row">#REF!</definedName>
    <definedName name="XRefCopy35" localSheetId="0">#REF!</definedName>
    <definedName name="XRefCopy35">#REF!</definedName>
    <definedName name="XRefCopy35Row" localSheetId="0">#REF!</definedName>
    <definedName name="XRefCopy35Row">#REF!</definedName>
    <definedName name="XRefCopy36" localSheetId="0">#REF!</definedName>
    <definedName name="XRefCopy36">#REF!</definedName>
    <definedName name="XRefCopy36Row" localSheetId="0">#REF!</definedName>
    <definedName name="XRefCopy36Row">#REF!</definedName>
    <definedName name="XRefCopy37" localSheetId="0">#REF!</definedName>
    <definedName name="XRefCopy37">#REF!</definedName>
    <definedName name="XRefCopy37Row" localSheetId="0">#REF!</definedName>
    <definedName name="XRefCopy37Row">#REF!</definedName>
    <definedName name="XRefCopy38Row" localSheetId="0">#REF!</definedName>
    <definedName name="XRefCopy38Row">#REF!</definedName>
    <definedName name="XRefCopy39" localSheetId="0">#REF!</definedName>
    <definedName name="XRefCopy39">#REF!</definedName>
    <definedName name="XRefCopy39Row" localSheetId="0">#REF!</definedName>
    <definedName name="XRefCopy39Row">#REF!</definedName>
    <definedName name="XRefCopy3Row" localSheetId="0">#REF!</definedName>
    <definedName name="XRefCopy3Row">#REF!</definedName>
    <definedName name="XRefCopy40" localSheetId="0">#REF!</definedName>
    <definedName name="XRefCopy40">#REF!</definedName>
    <definedName name="XRefCopy40Row" localSheetId="0">#REF!</definedName>
    <definedName name="XRefCopy40Row">#REF!</definedName>
    <definedName name="XRefCopy41" localSheetId="0">#REF!</definedName>
    <definedName name="XRefCopy41">#REF!</definedName>
    <definedName name="XRefCopy41Row" localSheetId="0">#REF!</definedName>
    <definedName name="XRefCopy41Row">#REF!</definedName>
    <definedName name="XRefCopy42" localSheetId="0">#REF!</definedName>
    <definedName name="XRefCopy42">#REF!</definedName>
    <definedName name="XRefCopy42Row" localSheetId="0">#REF!</definedName>
    <definedName name="XRefCopy42Row">#REF!</definedName>
    <definedName name="XRefCopy43Row" localSheetId="0">#REF!</definedName>
    <definedName name="XRefCopy43Row">#REF!</definedName>
    <definedName name="XRefCopy44Row" localSheetId="0">#REF!</definedName>
    <definedName name="XRefCopy44Row">#REF!</definedName>
    <definedName name="XRefCopy45Row" localSheetId="0">#REF!</definedName>
    <definedName name="XRefCopy45Row">#REF!</definedName>
    <definedName name="XRefCopy46" localSheetId="0">#REF!</definedName>
    <definedName name="XRefCopy46">#REF!</definedName>
    <definedName name="XRefCopy46Row" localSheetId="0">#REF!</definedName>
    <definedName name="XRefCopy46Row">#REF!</definedName>
    <definedName name="XRefCopy47" localSheetId="0">#REF!</definedName>
    <definedName name="XRefCopy47">#REF!</definedName>
    <definedName name="XRefCopy47Row" localSheetId="0">#REF!</definedName>
    <definedName name="XRefCopy47Row">#REF!</definedName>
    <definedName name="XRefCopy48Row" localSheetId="0">#REF!</definedName>
    <definedName name="XRefCopy48Row">#REF!</definedName>
    <definedName name="XRefCopy49Row" localSheetId="0">#REF!</definedName>
    <definedName name="XRefCopy49Row">#REF!</definedName>
    <definedName name="XRefCopy4Row" localSheetId="0">#REF!</definedName>
    <definedName name="XRefCopy4Row">#REF!</definedName>
    <definedName name="XRefCopy50Row" localSheetId="0">#REF!</definedName>
    <definedName name="XRefCopy50Row">#REF!</definedName>
    <definedName name="XRefCopy51Row" localSheetId="0">#REF!</definedName>
    <definedName name="XRefCopy51Row">#REF!</definedName>
    <definedName name="XRefCopy52" localSheetId="0">#REF!</definedName>
    <definedName name="XRefCopy52">#REF!</definedName>
    <definedName name="XRefCopy52Row" localSheetId="0">#REF!</definedName>
    <definedName name="XRefCopy52Row">#REF!</definedName>
    <definedName name="XRefCopy53" localSheetId="0">#REF!</definedName>
    <definedName name="XRefCopy53">#REF!</definedName>
    <definedName name="XRefCopy53Row" localSheetId="0">#REF!</definedName>
    <definedName name="XRefCopy53Row">#REF!</definedName>
    <definedName name="XRefCopy54" localSheetId="0">#REF!</definedName>
    <definedName name="XRefCopy54">#REF!</definedName>
    <definedName name="XRefCopy54Row" localSheetId="0">#REF!</definedName>
    <definedName name="XRefCopy54Row">#REF!</definedName>
    <definedName name="XRefCopy55Row" localSheetId="0">#REF!</definedName>
    <definedName name="XRefCopy55Row">#REF!</definedName>
    <definedName name="XRefCopy56" localSheetId="0">#REF!</definedName>
    <definedName name="XRefCopy56">#REF!</definedName>
    <definedName name="XRefCopy57" localSheetId="0">#REF!</definedName>
    <definedName name="XRefCopy57">#REF!</definedName>
    <definedName name="XRefCopy57Row" localSheetId="0">#REF!</definedName>
    <definedName name="XRefCopy57Row">#REF!</definedName>
    <definedName name="XRefCopy59" localSheetId="0">#REF!</definedName>
    <definedName name="XRefCopy59">#REF!</definedName>
    <definedName name="XRefCopy59Row" localSheetId="0">#REF!</definedName>
    <definedName name="XRefCopy59Row">#REF!</definedName>
    <definedName name="XRefCopy5Row" localSheetId="0">#REF!</definedName>
    <definedName name="XRefCopy5Row">#REF!</definedName>
    <definedName name="XRefCopy60" localSheetId="0">#REF!</definedName>
    <definedName name="XRefCopy60">#REF!</definedName>
    <definedName name="XRefCopy60Row" localSheetId="0">#REF!</definedName>
    <definedName name="XRefCopy60Row">#REF!</definedName>
    <definedName name="XRefCopy61Row" localSheetId="0">#REF!</definedName>
    <definedName name="XRefCopy61Row">#REF!</definedName>
    <definedName name="XRefCopy62" localSheetId="0">#REF!</definedName>
    <definedName name="XRefCopy62">#REF!</definedName>
    <definedName name="XRefCopy62Row" localSheetId="0">#REF!</definedName>
    <definedName name="XRefCopy62Row">#REF!</definedName>
    <definedName name="XRefCopy63Row" localSheetId="0">#REF!</definedName>
    <definedName name="XRefCopy63Row">#REF!</definedName>
    <definedName name="XRefCopy64" localSheetId="0">#REF!</definedName>
    <definedName name="XRefCopy64">#REF!</definedName>
    <definedName name="XRefCopy64Row" localSheetId="0">#REF!</definedName>
    <definedName name="XRefCopy64Row">#REF!</definedName>
    <definedName name="XRefCopy65" localSheetId="0">#REF!</definedName>
    <definedName name="XRefCopy65">#REF!</definedName>
    <definedName name="XRefCopy65Row" localSheetId="0">#REF!</definedName>
    <definedName name="XRefCopy65Row">#REF!</definedName>
    <definedName name="XRefCopy66" localSheetId="0">#REF!</definedName>
    <definedName name="XRefCopy66">#REF!</definedName>
    <definedName name="XRefCopy66Row" localSheetId="0">#REF!</definedName>
    <definedName name="XRefCopy66Row">#REF!</definedName>
    <definedName name="XRefCopy67" localSheetId="0">#REF!</definedName>
    <definedName name="XRefCopy67">#REF!</definedName>
    <definedName name="XRefCopy67Row" localSheetId="0">#REF!</definedName>
    <definedName name="XRefCopy67Row">#REF!</definedName>
    <definedName name="XRefCopy68" localSheetId="0">#REF!</definedName>
    <definedName name="XRefCopy68">#REF!</definedName>
    <definedName name="XRefCopy68Row" localSheetId="0">#REF!</definedName>
    <definedName name="XRefCopy68Row">#REF!</definedName>
    <definedName name="XRefCopy69Row" localSheetId="0">#REF!</definedName>
    <definedName name="XRefCopy69Row">#REF!</definedName>
    <definedName name="XRefCopy6Row" localSheetId="0">#REF!</definedName>
    <definedName name="XRefCopy6Row">#REF!</definedName>
    <definedName name="XRefCopy70Row" localSheetId="0">#REF!</definedName>
    <definedName name="XRefCopy70Row">#REF!</definedName>
    <definedName name="XRefCopy71Row" localSheetId="0">#REF!</definedName>
    <definedName name="XRefCopy71Row">#REF!</definedName>
    <definedName name="XRefCopy72" localSheetId="0">#REF!</definedName>
    <definedName name="XRefCopy72">#REF!</definedName>
    <definedName name="XRefCopy72Row" localSheetId="0">#REF!</definedName>
    <definedName name="XRefCopy72Row">#REF!</definedName>
    <definedName name="XRefCopy73" localSheetId="0">#REF!</definedName>
    <definedName name="XRefCopy73">#REF!</definedName>
    <definedName name="XRefCopy73Row" localSheetId="0">#REF!</definedName>
    <definedName name="XRefCopy73Row">#REF!</definedName>
    <definedName name="XRefCopy74" localSheetId="0">#REF!</definedName>
    <definedName name="XRefCopy74">#REF!</definedName>
    <definedName name="XRefCopy74Row" localSheetId="0">#REF!</definedName>
    <definedName name="XRefCopy74Row">#REF!</definedName>
    <definedName name="XRefCopy75" localSheetId="0">#REF!</definedName>
    <definedName name="XRefCopy75">#REF!</definedName>
    <definedName name="XRefCopy75Row" localSheetId="0">#REF!</definedName>
    <definedName name="XRefCopy75Row">#REF!</definedName>
    <definedName name="XRefCopy76" localSheetId="0">#REF!</definedName>
    <definedName name="XRefCopy76">#REF!</definedName>
    <definedName name="XRefCopy76Row" localSheetId="0">#REF!</definedName>
    <definedName name="XRefCopy76Row">#REF!</definedName>
    <definedName name="XRefCopy77" localSheetId="0">#REF!</definedName>
    <definedName name="XRefCopy77">#REF!</definedName>
    <definedName name="XRefCopy77Row" localSheetId="0">#REF!</definedName>
    <definedName name="XRefCopy77Row">#REF!</definedName>
    <definedName name="XRefCopy78" localSheetId="0">#REF!</definedName>
    <definedName name="XRefCopy78">#REF!</definedName>
    <definedName name="XRefCopy78Row" localSheetId="0">#REF!</definedName>
    <definedName name="XRefCopy78Row">#REF!</definedName>
    <definedName name="XRefCopy79" localSheetId="0">#REF!</definedName>
    <definedName name="XRefCopy79">#REF!</definedName>
    <definedName name="XRefCopy79Row" localSheetId="0">#REF!</definedName>
    <definedName name="XRefCopy79Row">#REF!</definedName>
    <definedName name="XRefCopy7Row" localSheetId="0">#REF!</definedName>
    <definedName name="XRefCopy7Row">#REF!</definedName>
    <definedName name="XRefCopy80" localSheetId="0">#REF!</definedName>
    <definedName name="XRefCopy80">#REF!</definedName>
    <definedName name="XRefCopy80Row" localSheetId="0">#REF!</definedName>
    <definedName name="XRefCopy80Row">#REF!</definedName>
    <definedName name="XRefCopy81Row" localSheetId="0">#REF!</definedName>
    <definedName name="XRefCopy81Row">#REF!</definedName>
    <definedName name="XRefCopy82Row" localSheetId="0">#REF!</definedName>
    <definedName name="XRefCopy82Row">#REF!</definedName>
    <definedName name="XRefCopy83" localSheetId="0">#REF!</definedName>
    <definedName name="XRefCopy83">#REF!</definedName>
    <definedName name="XRefCopy83Row" localSheetId="0">#REF!</definedName>
    <definedName name="XRefCopy83Row">#REF!</definedName>
    <definedName name="XRefCopy84Row" localSheetId="0">#REF!</definedName>
    <definedName name="XRefCopy84Row">#REF!</definedName>
    <definedName name="XRefCopy85" localSheetId="0">#REF!</definedName>
    <definedName name="XRefCopy85">#REF!</definedName>
    <definedName name="XRefCopy85Row" localSheetId="0">#REF!</definedName>
    <definedName name="XRefCopy85Row">#REF!</definedName>
    <definedName name="XRefCopy86" localSheetId="0">#REF!</definedName>
    <definedName name="XRefCopy86">#REF!</definedName>
    <definedName name="XRefCopy87" localSheetId="0">#REF!</definedName>
    <definedName name="XRefCopy87">#REF!</definedName>
    <definedName name="XRefCopy87Row" localSheetId="0">#REF!</definedName>
    <definedName name="XRefCopy87Row">#REF!</definedName>
    <definedName name="XRefCopy88Row" localSheetId="0">#REF!</definedName>
    <definedName name="XRefCopy88Row">#REF!</definedName>
    <definedName name="XRefCopy89Row" localSheetId="0">#REF!</definedName>
    <definedName name="XRefCopy89Row">#REF!</definedName>
    <definedName name="XRefCopy8Row" localSheetId="0">#REF!</definedName>
    <definedName name="XRefCopy8Row">#REF!</definedName>
    <definedName name="XRefCopy90" localSheetId="0">#REF!</definedName>
    <definedName name="XRefCopy90">#REF!</definedName>
    <definedName name="XRefCopy90Row" localSheetId="0">#REF!</definedName>
    <definedName name="XRefCopy90Row">#REF!</definedName>
    <definedName name="XRefCopy91" localSheetId="0">#REF!</definedName>
    <definedName name="XRefCopy91">#REF!</definedName>
    <definedName name="XRefCopy91Row" localSheetId="0">#REF!</definedName>
    <definedName name="XRefCopy91Row">#REF!</definedName>
    <definedName name="XRefCopy92Row" localSheetId="0">#REF!</definedName>
    <definedName name="XRefCopy92Row">#REF!</definedName>
    <definedName name="XRefCopy93" localSheetId="0">#REF!</definedName>
    <definedName name="XRefCopy93">#REF!</definedName>
    <definedName name="XRefCopy93Row" localSheetId="0">#REF!</definedName>
    <definedName name="XRefCopy93Row">#REF!</definedName>
    <definedName name="XRefCopy94" localSheetId="0">#REF!</definedName>
    <definedName name="XRefCopy94">#REF!</definedName>
    <definedName name="XRefCopy94Row" localSheetId="0">#REF!</definedName>
    <definedName name="XRefCopy94Row">#REF!</definedName>
    <definedName name="XRefCopy95" localSheetId="0">#REF!</definedName>
    <definedName name="XRefCopy95">#REF!</definedName>
    <definedName name="XRefCopy95Row" localSheetId="0">#REF!</definedName>
    <definedName name="XRefCopy95Row">#REF!</definedName>
    <definedName name="XRefCopy96Row" localSheetId="0">#REF!</definedName>
    <definedName name="XRefCopy96Row">#REF!</definedName>
    <definedName name="XRefCopy97" localSheetId="0">#REF!</definedName>
    <definedName name="XRefCopy97">#REF!</definedName>
    <definedName name="XRefCopy97Row" localSheetId="0">#REF!</definedName>
    <definedName name="XRefCopy97Row">#REF!</definedName>
    <definedName name="XRefCopy99Row" localSheetId="0">#REF!</definedName>
    <definedName name="XRefCopy99Row">#REF!</definedName>
    <definedName name="XRefCopy9Row" localSheetId="0">#REF!</definedName>
    <definedName name="XRefCopy9Row">#REF!</definedName>
    <definedName name="XRefCopyRangeCount">10</definedName>
    <definedName name="XRefPaste10" localSheetId="0">#REF!</definedName>
    <definedName name="XRefPaste10">#REF!</definedName>
    <definedName name="XRefPaste100Row" localSheetId="0">#REF!</definedName>
    <definedName name="XRefPaste100Row">#REF!</definedName>
    <definedName name="XRefPaste101Row" localSheetId="0">#REF!</definedName>
    <definedName name="XRefPaste101Row">#REF!</definedName>
    <definedName name="XRefPaste102Row" localSheetId="0">#REF!</definedName>
    <definedName name="XRefPaste102Row">#REF!</definedName>
    <definedName name="XRefPaste103" localSheetId="0">#REF!</definedName>
    <definedName name="XRefPaste103">#REF!</definedName>
    <definedName name="XRefPaste103Row" localSheetId="0">#REF!</definedName>
    <definedName name="XRefPaste103Row">#REF!</definedName>
    <definedName name="XRefPaste104Row" localSheetId="0">#REF!</definedName>
    <definedName name="XRefPaste104Row">#REF!</definedName>
    <definedName name="XRefPaste105Row" localSheetId="0">#REF!</definedName>
    <definedName name="XRefPaste105Row">#REF!</definedName>
    <definedName name="XRefPaste106" localSheetId="0">#REF!</definedName>
    <definedName name="XRefPaste106">#REF!</definedName>
    <definedName name="XRefPaste106Row" localSheetId="0">#REF!</definedName>
    <definedName name="XRefPaste106Row">#REF!</definedName>
    <definedName name="XRefPaste107Row" localSheetId="0">#REF!</definedName>
    <definedName name="XRefPaste107Row">#REF!</definedName>
    <definedName name="XRefPaste108Row" localSheetId="0">#REF!</definedName>
    <definedName name="XRefPaste108Row">#REF!</definedName>
    <definedName name="XRefPaste109Row" localSheetId="0">#REF!</definedName>
    <definedName name="XRefPaste109Row">#REF!</definedName>
    <definedName name="XRefPaste10Row" localSheetId="0">#REF!</definedName>
    <definedName name="XRefPaste10Row">#REF!</definedName>
    <definedName name="XRefPaste11" localSheetId="0">#REF!</definedName>
    <definedName name="XRefPaste11">#REF!</definedName>
    <definedName name="XRefPaste110Row" localSheetId="0">#REF!</definedName>
    <definedName name="XRefPaste110Row">#REF!</definedName>
    <definedName name="XRefPaste111Row" localSheetId="0">#REF!</definedName>
    <definedName name="XRefPaste111Row">#REF!</definedName>
    <definedName name="XRefPaste112Row" localSheetId="0">#REF!</definedName>
    <definedName name="XRefPaste112Row">#REF!</definedName>
    <definedName name="XRefPaste114Row" localSheetId="0">#REF!</definedName>
    <definedName name="XRefPaste114Row">#REF!</definedName>
    <definedName name="XRefPaste115Row" localSheetId="0">#REF!</definedName>
    <definedName name="XRefPaste115Row">#REF!</definedName>
    <definedName name="XRefPaste116Row" localSheetId="0">#REF!</definedName>
    <definedName name="XRefPaste116Row">#REF!</definedName>
    <definedName name="XRefPaste117Row" localSheetId="0">#REF!</definedName>
    <definedName name="XRefPaste117Row">#REF!</definedName>
    <definedName name="XRefPaste118Row" localSheetId="0">#REF!</definedName>
    <definedName name="XRefPaste118Row">#REF!</definedName>
    <definedName name="XRefPaste119Row" localSheetId="0">#REF!</definedName>
    <definedName name="XRefPaste119Row">#REF!</definedName>
    <definedName name="XRefPaste11Row" localSheetId="0">#REF!</definedName>
    <definedName name="XRefPaste11Row">#REF!</definedName>
    <definedName name="XRefPaste12" localSheetId="0">#REF!</definedName>
    <definedName name="XRefPaste12">#REF!</definedName>
    <definedName name="XRefPaste120" localSheetId="0">#REF!</definedName>
    <definedName name="XRefPaste120">#REF!</definedName>
    <definedName name="XRefPaste120Row" localSheetId="0">#REF!</definedName>
    <definedName name="XRefPaste120Row">#REF!</definedName>
    <definedName name="XRefPaste121Row" localSheetId="0">#REF!</definedName>
    <definedName name="XRefPaste121Row">#REF!</definedName>
    <definedName name="XRefPaste122Row" localSheetId="0">#REF!</definedName>
    <definedName name="XRefPaste122Row">#REF!</definedName>
    <definedName name="XRefPaste123Row" localSheetId="0">#REF!</definedName>
    <definedName name="XRefPaste123Row">#REF!</definedName>
    <definedName name="XRefPaste124Row" localSheetId="0">#REF!</definedName>
    <definedName name="XRefPaste124Row">#REF!</definedName>
    <definedName name="XRefPaste125Row" localSheetId="0">#REF!</definedName>
    <definedName name="XRefPaste125Row">#REF!</definedName>
    <definedName name="XRefPaste126Row" localSheetId="0">#REF!</definedName>
    <definedName name="XRefPaste126Row">#REF!</definedName>
    <definedName name="XRefPaste127Row" localSheetId="0">#REF!</definedName>
    <definedName name="XRefPaste127Row">#REF!</definedName>
    <definedName name="XRefPaste128Row" localSheetId="0">#REF!</definedName>
    <definedName name="XRefPaste128Row">#REF!</definedName>
    <definedName name="XRefPaste129Row" localSheetId="0">#REF!</definedName>
    <definedName name="XRefPaste129Row">#REF!</definedName>
    <definedName name="XRefPaste12Row" localSheetId="0">#REF!</definedName>
    <definedName name="XRefPaste12Row">#REF!</definedName>
    <definedName name="XRefPaste13" localSheetId="0">#REF!</definedName>
    <definedName name="XRefPaste13">#REF!</definedName>
    <definedName name="XRefPaste130Row" localSheetId="0">#REF!</definedName>
    <definedName name="XRefPaste130Row">#REF!</definedName>
    <definedName name="XRefPaste131Row" localSheetId="0">#REF!</definedName>
    <definedName name="XRefPaste131Row">#REF!</definedName>
    <definedName name="XRefPaste132Row" localSheetId="0">#REF!</definedName>
    <definedName name="XRefPaste132Row">#REF!</definedName>
    <definedName name="XRefPaste133Row" localSheetId="0">#REF!</definedName>
    <definedName name="XRefPaste133Row">#REF!</definedName>
    <definedName name="XRefPaste134Row" localSheetId="0">#REF!</definedName>
    <definedName name="XRefPaste134Row">#REF!</definedName>
    <definedName name="XRefPaste135Row" localSheetId="0">#REF!</definedName>
    <definedName name="XRefPaste135Row">#REF!</definedName>
    <definedName name="XRefPaste136Row" localSheetId="0">#REF!</definedName>
    <definedName name="XRefPaste136Row">#REF!</definedName>
    <definedName name="XRefPaste137Row" localSheetId="0">#REF!</definedName>
    <definedName name="XRefPaste137Row">#REF!</definedName>
    <definedName name="XRefPaste138Row" localSheetId="0">#REF!</definedName>
    <definedName name="XRefPaste138Row">#REF!</definedName>
    <definedName name="XRefPaste139Row" localSheetId="0">#REF!</definedName>
    <definedName name="XRefPaste139Row">#REF!</definedName>
    <definedName name="XRefPaste13Row" localSheetId="0">#REF!</definedName>
    <definedName name="XRefPaste13Row">#REF!</definedName>
    <definedName name="XRefPaste14" localSheetId="0">#REF!</definedName>
    <definedName name="XRefPaste14">#REF!</definedName>
    <definedName name="XRefPaste140Row" localSheetId="0">#REF!</definedName>
    <definedName name="XRefPaste140Row">#REF!</definedName>
    <definedName name="XRefPaste141Row" localSheetId="0">#REF!</definedName>
    <definedName name="XRefPaste141Row">#REF!</definedName>
    <definedName name="XRefPaste142Row" localSheetId="0">#REF!</definedName>
    <definedName name="XRefPaste142Row">#REF!</definedName>
    <definedName name="XRefPaste143Row" localSheetId="0">#REF!</definedName>
    <definedName name="XRefPaste143Row">#REF!</definedName>
    <definedName name="XRefPaste144Row" localSheetId="0">#REF!</definedName>
    <definedName name="XRefPaste144Row">#REF!</definedName>
    <definedName name="XRefPaste145Row" localSheetId="0">#REF!</definedName>
    <definedName name="XRefPaste145Row">#REF!</definedName>
    <definedName name="XRefPaste146Row" localSheetId="0">#REF!</definedName>
    <definedName name="XRefPaste146Row">#REF!</definedName>
    <definedName name="XRefPaste147Row" localSheetId="0">#REF!</definedName>
    <definedName name="XRefPaste147Row">#REF!</definedName>
    <definedName name="XRefPaste148Row" localSheetId="0">#REF!</definedName>
    <definedName name="XRefPaste148Row">#REF!</definedName>
    <definedName name="XRefPaste149Row" localSheetId="0">#REF!</definedName>
    <definedName name="XRefPaste149Row">#REF!</definedName>
    <definedName name="XRefPaste14Row" localSheetId="0">#REF!</definedName>
    <definedName name="XRefPaste14Row">#REF!</definedName>
    <definedName name="XRefPaste15" localSheetId="0">#REF!</definedName>
    <definedName name="XRefPaste15">#REF!</definedName>
    <definedName name="XRefPaste150Row" localSheetId="0">#REF!</definedName>
    <definedName name="XRefPaste150Row">#REF!</definedName>
    <definedName name="XRefPaste151Row" localSheetId="0">#REF!</definedName>
    <definedName name="XRefPaste151Row">#REF!</definedName>
    <definedName name="XRefPaste152Row" localSheetId="0">#REF!</definedName>
    <definedName name="XRefPaste152Row">#REF!</definedName>
    <definedName name="XRefPaste153Row" localSheetId="0">#REF!</definedName>
    <definedName name="XRefPaste153Row">#REF!</definedName>
    <definedName name="XRefPaste154Row" localSheetId="0">#REF!</definedName>
    <definedName name="XRefPaste154Row">#REF!</definedName>
    <definedName name="XRefPaste155Row" localSheetId="0">#REF!</definedName>
    <definedName name="XRefPaste155Row">#REF!</definedName>
    <definedName name="XRefPaste156Row" localSheetId="0">#REF!</definedName>
    <definedName name="XRefPaste156Row">#REF!</definedName>
    <definedName name="XRefPaste157Row" localSheetId="0">#REF!</definedName>
    <definedName name="XRefPaste157Row">#REF!</definedName>
    <definedName name="XRefPaste158Row" localSheetId="0">#REF!</definedName>
    <definedName name="XRefPaste158Row">#REF!</definedName>
    <definedName name="XRefPaste159Row" localSheetId="0">#REF!</definedName>
    <definedName name="XRefPaste159Row">#REF!</definedName>
    <definedName name="XRefPaste15Row" localSheetId="0">#REF!</definedName>
    <definedName name="XRefPaste15Row">#REF!</definedName>
    <definedName name="XRefPaste16" localSheetId="0">#REF!</definedName>
    <definedName name="XRefPaste16">#REF!</definedName>
    <definedName name="XRefPaste161Row" localSheetId="0">#REF!</definedName>
    <definedName name="XRefPaste161Row">#REF!</definedName>
    <definedName name="XRefPaste163Row" localSheetId="0">#REF!</definedName>
    <definedName name="XRefPaste163Row">#REF!</definedName>
    <definedName name="XRefPaste164Row" localSheetId="0">#REF!</definedName>
    <definedName name="XRefPaste164Row">#REF!</definedName>
    <definedName name="XRefPaste165Row" localSheetId="0">#REF!</definedName>
    <definedName name="XRefPaste165Row">#REF!</definedName>
    <definedName name="XRefPaste166Row" localSheetId="0">#REF!</definedName>
    <definedName name="XRefPaste166Row">#REF!</definedName>
    <definedName name="XRefPaste167Row" localSheetId="0">#REF!</definedName>
    <definedName name="XRefPaste167Row">#REF!</definedName>
    <definedName name="XRefPaste168Row" localSheetId="0">#REF!</definedName>
    <definedName name="XRefPaste168Row">#REF!</definedName>
    <definedName name="XRefPaste16Row" localSheetId="0">#REF!</definedName>
    <definedName name="XRefPaste16Row">#REF!</definedName>
    <definedName name="XRefPaste17" localSheetId="0">#REF!</definedName>
    <definedName name="XRefPaste17">#REF!</definedName>
    <definedName name="XRefPaste170Row" localSheetId="0">#REF!</definedName>
    <definedName name="XRefPaste170Row">#REF!</definedName>
    <definedName name="XRefPaste172Row" localSheetId="0">#REF!</definedName>
    <definedName name="XRefPaste172Row">#REF!</definedName>
    <definedName name="XRefPaste173Row" localSheetId="0">#REF!</definedName>
    <definedName name="XRefPaste173Row">#REF!</definedName>
    <definedName name="XRefPaste174Row" localSheetId="0">#REF!</definedName>
    <definedName name="XRefPaste174Row">#REF!</definedName>
    <definedName name="XRefPaste175Row" localSheetId="0">#REF!</definedName>
    <definedName name="XRefPaste175Row">#REF!</definedName>
    <definedName name="XRefPaste176Row" localSheetId="0">#REF!</definedName>
    <definedName name="XRefPaste176Row">#REF!</definedName>
    <definedName name="XRefPaste177Row" localSheetId="0">#REF!</definedName>
    <definedName name="XRefPaste177Row">#REF!</definedName>
    <definedName name="XRefPaste178Row" localSheetId="0">#REF!</definedName>
    <definedName name="XRefPaste178Row">#REF!</definedName>
    <definedName name="XRefPaste179Row" localSheetId="0">#REF!</definedName>
    <definedName name="XRefPaste179Row">#REF!</definedName>
    <definedName name="XRefPaste17Row" localSheetId="0">#REF!</definedName>
    <definedName name="XRefPaste17Row">#REF!</definedName>
    <definedName name="XRefPaste18" localSheetId="0">#REF!</definedName>
    <definedName name="XRefPaste18">#REF!</definedName>
    <definedName name="XRefPaste181Row" localSheetId="0">#REF!</definedName>
    <definedName name="XRefPaste181Row">#REF!</definedName>
    <definedName name="XRefPaste182Row" localSheetId="0">#REF!</definedName>
    <definedName name="XRefPaste182Row">#REF!</definedName>
    <definedName name="XRefPaste183Row" localSheetId="0">#REF!</definedName>
    <definedName name="XRefPaste183Row">#REF!</definedName>
    <definedName name="XRefPaste184Row" localSheetId="0">#REF!</definedName>
    <definedName name="XRefPaste184Row">#REF!</definedName>
    <definedName name="XRefPaste185Row" localSheetId="0">#REF!</definedName>
    <definedName name="XRefPaste185Row">#REF!</definedName>
    <definedName name="XRefPaste186Row" localSheetId="0">#REF!</definedName>
    <definedName name="XRefPaste186Row">#REF!</definedName>
    <definedName name="XRefPaste187Row" localSheetId="0">#REF!</definedName>
    <definedName name="XRefPaste187Row">#REF!</definedName>
    <definedName name="XRefPaste188Row" localSheetId="0">#REF!</definedName>
    <definedName name="XRefPaste188Row">#REF!</definedName>
    <definedName name="XRefPaste189Row" localSheetId="0">#REF!</definedName>
    <definedName name="XRefPaste189Row">#REF!</definedName>
    <definedName name="XRefPaste18Row" localSheetId="0">#REF!</definedName>
    <definedName name="XRefPaste18Row">#REF!</definedName>
    <definedName name="XRefPaste19" localSheetId="0">#REF!</definedName>
    <definedName name="XRefPaste19">#REF!</definedName>
    <definedName name="XRefPaste190Row" localSheetId="0">#REF!</definedName>
    <definedName name="XRefPaste190Row">#REF!</definedName>
    <definedName name="XRefPaste191Row" localSheetId="0">#REF!</definedName>
    <definedName name="XRefPaste191Row">#REF!</definedName>
    <definedName name="XRefPaste192Row" localSheetId="0">#REF!</definedName>
    <definedName name="XRefPaste192Row">#REF!</definedName>
    <definedName name="XRefPaste193Row" localSheetId="0">#REF!</definedName>
    <definedName name="XRefPaste193Row">#REF!</definedName>
    <definedName name="XRefPaste194Row" localSheetId="0">#REF!</definedName>
    <definedName name="XRefPaste194Row">#REF!</definedName>
    <definedName name="XRefPaste195Row" localSheetId="0">#REF!</definedName>
    <definedName name="XRefPaste195Row">#REF!</definedName>
    <definedName name="XRefPaste196Row" localSheetId="0">#REF!</definedName>
    <definedName name="XRefPaste196Row">#REF!</definedName>
    <definedName name="XRefPaste197Row" localSheetId="0">#REF!</definedName>
    <definedName name="XRefPaste197Row">#REF!</definedName>
    <definedName name="XRefPaste199Row" localSheetId="0">#REF!</definedName>
    <definedName name="XRefPaste199Row">#REF!</definedName>
    <definedName name="XRefPaste19Row" localSheetId="0">#REF!</definedName>
    <definedName name="XRefPaste19Row">#REF!</definedName>
    <definedName name="XRefPaste1Row" localSheetId="0">#REF!</definedName>
    <definedName name="XRefPaste1Row">#REF!</definedName>
    <definedName name="XRefPaste2" localSheetId="0">#REF!</definedName>
    <definedName name="XRefPaste2">#REF!</definedName>
    <definedName name="XRefPaste20" localSheetId="0">#REF!</definedName>
    <definedName name="XRefPaste20">#REF!</definedName>
    <definedName name="XRefPaste200Row" localSheetId="0">#REF!</definedName>
    <definedName name="XRefPaste200Row">#REF!</definedName>
    <definedName name="XRefPaste201Row" localSheetId="0">#REF!</definedName>
    <definedName name="XRefPaste201Row">#REF!</definedName>
    <definedName name="XRefPaste202Row" localSheetId="0">#REF!</definedName>
    <definedName name="XRefPaste202Row">#REF!</definedName>
    <definedName name="XRefPaste203Row" localSheetId="0">#REF!</definedName>
    <definedName name="XRefPaste203Row">#REF!</definedName>
    <definedName name="XRefPaste204Row" localSheetId="0">#REF!</definedName>
    <definedName name="XRefPaste204Row">#REF!</definedName>
    <definedName name="XRefPaste205Row" localSheetId="0">#REF!</definedName>
    <definedName name="XRefPaste205Row">#REF!</definedName>
    <definedName name="XRefPaste206Row" localSheetId="0">#REF!</definedName>
    <definedName name="XRefPaste206Row">#REF!</definedName>
    <definedName name="XRefPaste207Row" localSheetId="0">#REF!</definedName>
    <definedName name="XRefPaste207Row">#REF!</definedName>
    <definedName name="XRefPaste208Row" localSheetId="0">#REF!</definedName>
    <definedName name="XRefPaste208Row">#REF!</definedName>
    <definedName name="XRefPaste209Row" localSheetId="0">#REF!</definedName>
    <definedName name="XRefPaste209Row">#REF!</definedName>
    <definedName name="XRefPaste20Row" localSheetId="0">#REF!</definedName>
    <definedName name="XRefPaste20Row">#REF!</definedName>
    <definedName name="XRefPaste21" localSheetId="0">#REF!</definedName>
    <definedName name="XRefPaste21">#REF!</definedName>
    <definedName name="XRefPaste210Row" localSheetId="0">#REF!</definedName>
    <definedName name="XRefPaste210Row">#REF!</definedName>
    <definedName name="XRefPaste211Row" localSheetId="0">#REF!</definedName>
    <definedName name="XRefPaste211Row">#REF!</definedName>
    <definedName name="XRefPaste212Row" localSheetId="0">#REF!</definedName>
    <definedName name="XRefPaste212Row">#REF!</definedName>
    <definedName name="XRefPaste213Row" localSheetId="0">#REF!</definedName>
    <definedName name="XRefPaste213Row">#REF!</definedName>
    <definedName name="XRefPaste214Row" localSheetId="0">#REF!</definedName>
    <definedName name="XRefPaste214Row">#REF!</definedName>
    <definedName name="XRefPaste215Row" localSheetId="0">#REF!</definedName>
    <definedName name="XRefPaste215Row">#REF!</definedName>
    <definedName name="XRefPaste216Row" localSheetId="0">#REF!</definedName>
    <definedName name="XRefPaste216Row">#REF!</definedName>
    <definedName name="XRefPaste217Row" localSheetId="0">#REF!</definedName>
    <definedName name="XRefPaste217Row">#REF!</definedName>
    <definedName name="XRefPaste218Row" localSheetId="0">#REF!</definedName>
    <definedName name="XRefPaste218Row">#REF!</definedName>
    <definedName name="XRefPaste219Row" localSheetId="0">#REF!</definedName>
    <definedName name="XRefPaste219Row">#REF!</definedName>
    <definedName name="XRefPaste21Row" localSheetId="0">#REF!</definedName>
    <definedName name="XRefPaste21Row">#REF!</definedName>
    <definedName name="XRefPaste22" localSheetId="0">#REF!</definedName>
    <definedName name="XRefPaste22">#REF!</definedName>
    <definedName name="XRefPaste22Row" localSheetId="0">#REF!</definedName>
    <definedName name="XRefPaste22Row">#REF!</definedName>
    <definedName name="XRefPaste23" localSheetId="0">#REF!</definedName>
    <definedName name="XRefPaste23">#REF!</definedName>
    <definedName name="XRefPaste23Row" localSheetId="0">#REF!</definedName>
    <definedName name="XRefPaste23Row">#REF!</definedName>
    <definedName name="XRefPaste24" localSheetId="0">#REF!</definedName>
    <definedName name="XRefPaste24">#REF!</definedName>
    <definedName name="XRefPaste24Row" localSheetId="0">#REF!</definedName>
    <definedName name="XRefPaste24Row">#REF!</definedName>
    <definedName name="XRefPaste25Row" localSheetId="0">#REF!</definedName>
    <definedName name="XRefPaste25Row">#REF!</definedName>
    <definedName name="XRefPaste26Row" localSheetId="0">#REF!</definedName>
    <definedName name="XRefPaste26Row">#REF!</definedName>
    <definedName name="XRefPaste27" localSheetId="0">#REF!</definedName>
    <definedName name="XRefPaste27">#REF!</definedName>
    <definedName name="XRefPaste27Row" localSheetId="0">#REF!</definedName>
    <definedName name="XRefPaste27Row">#REF!</definedName>
    <definedName name="XRefPaste28" localSheetId="0">#REF!</definedName>
    <definedName name="XRefPaste28">#REF!</definedName>
    <definedName name="XRefPaste28Row" localSheetId="0">#REF!</definedName>
    <definedName name="XRefPaste28Row">#REF!</definedName>
    <definedName name="XRefPaste29" localSheetId="0">#REF!</definedName>
    <definedName name="XRefPaste29">#REF!</definedName>
    <definedName name="XRefPaste29Row" localSheetId="0">#REF!</definedName>
    <definedName name="XRefPaste29Row">#REF!</definedName>
    <definedName name="XRefPaste2Row" localSheetId="0">#REF!</definedName>
    <definedName name="XRefPaste2Row">#REF!</definedName>
    <definedName name="XRefPaste3" localSheetId="0">#REF!</definedName>
    <definedName name="XRefPaste3">#REF!</definedName>
    <definedName name="XRefPaste30" localSheetId="0">#REF!</definedName>
    <definedName name="XRefPaste30">#REF!</definedName>
    <definedName name="XRefPaste30Row" localSheetId="0">#REF!</definedName>
    <definedName name="XRefPaste30Row">#REF!</definedName>
    <definedName name="XRefPaste31" localSheetId="0">#REF!</definedName>
    <definedName name="XRefPaste31">#REF!</definedName>
    <definedName name="XRefPaste32" localSheetId="0">#REF!</definedName>
    <definedName name="XRefPaste32">#REF!</definedName>
    <definedName name="XRefPaste32Row" localSheetId="0">#REF!</definedName>
    <definedName name="XRefPaste32Row">#REF!</definedName>
    <definedName name="XRefPaste33" localSheetId="0">#REF!</definedName>
    <definedName name="XRefPaste33">#REF!</definedName>
    <definedName name="XRefPaste33Row" localSheetId="0">#REF!</definedName>
    <definedName name="XRefPaste33Row">#REF!</definedName>
    <definedName name="XRefPaste34" localSheetId="0">#REF!</definedName>
    <definedName name="XRefPaste34">#REF!</definedName>
    <definedName name="XRefPaste34Row" localSheetId="0">#REF!</definedName>
    <definedName name="XRefPaste34Row">#REF!</definedName>
    <definedName name="XRefPaste35" localSheetId="0">#REF!</definedName>
    <definedName name="XRefPaste35">#REF!</definedName>
    <definedName name="XRefPaste35Row" localSheetId="0">#REF!</definedName>
    <definedName name="XRefPaste35Row">#REF!</definedName>
    <definedName name="XRefPaste36" localSheetId="0">#REF!</definedName>
    <definedName name="XRefPaste36">#REF!</definedName>
    <definedName name="XRefPaste36Row" localSheetId="0">#REF!</definedName>
    <definedName name="XRefPaste36Row">#REF!</definedName>
    <definedName name="XRefPaste37" localSheetId="0">#REF!</definedName>
    <definedName name="XRefPaste37">#REF!</definedName>
    <definedName name="XRefPaste37Row" localSheetId="0">#REF!</definedName>
    <definedName name="XRefPaste37Row">#REF!</definedName>
    <definedName name="XRefPaste38" localSheetId="0">#REF!</definedName>
    <definedName name="XRefPaste38">#REF!</definedName>
    <definedName name="XRefPaste38Row" localSheetId="0">#REF!</definedName>
    <definedName name="XRefPaste38Row">#REF!</definedName>
    <definedName name="XRefPaste39" localSheetId="0">#REF!</definedName>
    <definedName name="XRefPaste39">#REF!</definedName>
    <definedName name="XRefPaste39Row" localSheetId="0">#REF!</definedName>
    <definedName name="XRefPaste39Row">#REF!</definedName>
    <definedName name="XRefPaste3Row" localSheetId="0">#REF!</definedName>
    <definedName name="XRefPaste3Row">#REF!</definedName>
    <definedName name="XRefPaste4" localSheetId="0">#REF!</definedName>
    <definedName name="XRefPaste4">#REF!</definedName>
    <definedName name="XRefPaste40" localSheetId="0">#REF!</definedName>
    <definedName name="XRefPaste40">#REF!</definedName>
    <definedName name="XRefPaste40Row" localSheetId="0">#REF!</definedName>
    <definedName name="XRefPaste40Row">#REF!</definedName>
    <definedName name="XRefPaste41Row" localSheetId="0">#REF!</definedName>
    <definedName name="XRefPaste41Row">#REF!</definedName>
    <definedName name="XRefPaste42Row" localSheetId="0">#REF!</definedName>
    <definedName name="XRefPaste42Row">#REF!</definedName>
    <definedName name="XRefPaste43" localSheetId="0">#REF!</definedName>
    <definedName name="XRefPaste43">#REF!</definedName>
    <definedName name="XRefPaste43Row" localSheetId="0">#REF!</definedName>
    <definedName name="XRefPaste43Row">#REF!</definedName>
    <definedName name="XRefPaste44" localSheetId="0">#REF!</definedName>
    <definedName name="XRefPaste44">#REF!</definedName>
    <definedName name="XRefPaste44Row" localSheetId="0">#REF!</definedName>
    <definedName name="XRefPaste44Row">#REF!</definedName>
    <definedName name="XRefPaste45" localSheetId="0">#REF!</definedName>
    <definedName name="XRefPaste45">#REF!</definedName>
    <definedName name="XRefPaste45Row" localSheetId="0">#REF!</definedName>
    <definedName name="XRefPaste45Row">#REF!</definedName>
    <definedName name="XRefPaste46" localSheetId="0">#REF!</definedName>
    <definedName name="XRefPaste46">#REF!</definedName>
    <definedName name="XRefPaste46Row" localSheetId="0">#REF!</definedName>
    <definedName name="XRefPaste46Row">#REF!</definedName>
    <definedName name="XRefPaste47Row" localSheetId="0">#REF!</definedName>
    <definedName name="XRefPaste47Row">#REF!</definedName>
    <definedName name="XRefPaste48Row" localSheetId="0">#REF!</definedName>
    <definedName name="XRefPaste48Row">#REF!</definedName>
    <definedName name="XRefPaste49Row" localSheetId="0">#REF!</definedName>
    <definedName name="XRefPaste49Row">#REF!</definedName>
    <definedName name="XRefPaste4Row" localSheetId="0">#REF!</definedName>
    <definedName name="XRefPaste4Row">#REF!</definedName>
    <definedName name="XRefPaste5" localSheetId="0">#REF!</definedName>
    <definedName name="XRefPaste5">#REF!</definedName>
    <definedName name="XRefPaste50Row" localSheetId="0">#REF!</definedName>
    <definedName name="XRefPaste50Row">#REF!</definedName>
    <definedName name="XRefPaste51Row" localSheetId="0">#REF!</definedName>
    <definedName name="XRefPaste51Row">#REF!</definedName>
    <definedName name="XRefPaste52Row" localSheetId="0">#REF!</definedName>
    <definedName name="XRefPaste52Row">#REF!</definedName>
    <definedName name="XRefPaste53Row" localSheetId="0">#REF!</definedName>
    <definedName name="XRefPaste53Row">#REF!</definedName>
    <definedName name="XRefPaste54Row" localSheetId="0">#REF!</definedName>
    <definedName name="XRefPaste54Row">#REF!</definedName>
    <definedName name="XRefPaste55" localSheetId="0">#REF!</definedName>
    <definedName name="XRefPaste55">#REF!</definedName>
    <definedName name="XRefPaste55Row" localSheetId="0">#REF!</definedName>
    <definedName name="XRefPaste55Row">#REF!</definedName>
    <definedName name="XRefPaste56Row" localSheetId="0">#REF!</definedName>
    <definedName name="XRefPaste56Row">#REF!</definedName>
    <definedName name="XRefPaste57Row" localSheetId="0">#REF!</definedName>
    <definedName name="XRefPaste57Row">#REF!</definedName>
    <definedName name="XRefPaste58Row" localSheetId="0">#REF!</definedName>
    <definedName name="XRefPaste58Row">#REF!</definedName>
    <definedName name="XRefPaste59Row" localSheetId="0">#REF!</definedName>
    <definedName name="XRefPaste59Row">#REF!</definedName>
    <definedName name="XRefPaste5Row" localSheetId="0">#REF!</definedName>
    <definedName name="XRefPaste5Row">#REF!</definedName>
    <definedName name="XRefPaste6" localSheetId="0">#REF!</definedName>
    <definedName name="XRefPaste6">#REF!</definedName>
    <definedName name="XRefPaste60Row" localSheetId="0">#REF!</definedName>
    <definedName name="XRefPaste60Row">#REF!</definedName>
    <definedName name="XRefPaste61Row" localSheetId="0">#REF!</definedName>
    <definedName name="XRefPaste61Row">#REF!</definedName>
    <definedName name="XRefPaste62Row" localSheetId="0">#REF!</definedName>
    <definedName name="XRefPaste62Row">#REF!</definedName>
    <definedName name="XRefPaste63Row" localSheetId="0">#REF!</definedName>
    <definedName name="XRefPaste63Row">#REF!</definedName>
    <definedName name="XRefPaste64Row" localSheetId="0">#REF!</definedName>
    <definedName name="XRefPaste64Row">#REF!</definedName>
    <definedName name="XRefPaste65Row" localSheetId="0">#REF!</definedName>
    <definedName name="XRefPaste65Row">#REF!</definedName>
    <definedName name="XRefPaste66Row" localSheetId="0">#REF!</definedName>
    <definedName name="XRefPaste66Row">#REF!</definedName>
    <definedName name="XRefPaste67Row" localSheetId="0">#REF!</definedName>
    <definedName name="XRefPaste67Row">#REF!</definedName>
    <definedName name="XRefPaste68Row" localSheetId="0">#REF!</definedName>
    <definedName name="XRefPaste68Row">#REF!</definedName>
    <definedName name="XRefPaste69Row" localSheetId="0">#REF!</definedName>
    <definedName name="XRefPaste69Row">#REF!</definedName>
    <definedName name="XRefPaste6Row" localSheetId="0">#REF!</definedName>
    <definedName name="XRefPaste6Row">#REF!</definedName>
    <definedName name="XRefPaste7" localSheetId="0">#REF!</definedName>
    <definedName name="XRefPaste7">#REF!</definedName>
    <definedName name="XRefPaste70Row" localSheetId="0">#REF!</definedName>
    <definedName name="XRefPaste70Row">#REF!</definedName>
    <definedName name="XRefPaste71Row" localSheetId="0">#REF!</definedName>
    <definedName name="XRefPaste71Row">#REF!</definedName>
    <definedName name="XRefPaste72Row" localSheetId="0">#REF!</definedName>
    <definedName name="XRefPaste72Row">#REF!</definedName>
    <definedName name="XRefPaste73Row" localSheetId="0">#REF!</definedName>
    <definedName name="XRefPaste73Row">#REF!</definedName>
    <definedName name="XRefPaste74Row" localSheetId="0">#REF!</definedName>
    <definedName name="XRefPaste74Row">#REF!</definedName>
    <definedName name="XRefPaste75Row" localSheetId="0">#REF!</definedName>
    <definedName name="XRefPaste75Row">#REF!</definedName>
    <definedName name="XRefPaste76Row" localSheetId="0">#REF!</definedName>
    <definedName name="XRefPaste76Row">#REF!</definedName>
    <definedName name="XRefPaste77Row" localSheetId="0">#REF!</definedName>
    <definedName name="XRefPaste77Row">#REF!</definedName>
    <definedName name="XRefPaste78Row" localSheetId="0">#REF!</definedName>
    <definedName name="XRefPaste78Row">#REF!</definedName>
    <definedName name="XRefPaste79Row" localSheetId="0">#REF!</definedName>
    <definedName name="XRefPaste79Row">#REF!</definedName>
    <definedName name="XRefPaste7Row" localSheetId="0">#REF!</definedName>
    <definedName name="XRefPaste7Row">#REF!</definedName>
    <definedName name="XRefPaste8" localSheetId="0">#REF!</definedName>
    <definedName name="XRefPaste8">#REF!</definedName>
    <definedName name="XRefPaste80Row" localSheetId="0">#REF!</definedName>
    <definedName name="XRefPaste80Row">#REF!</definedName>
    <definedName name="XRefPaste81Row" localSheetId="0">#REF!</definedName>
    <definedName name="XRefPaste81Row">#REF!</definedName>
    <definedName name="XRefPaste82Row" localSheetId="0">#REF!</definedName>
    <definedName name="XRefPaste82Row">#REF!</definedName>
    <definedName name="XRefPaste83Row" localSheetId="0">#REF!</definedName>
    <definedName name="XRefPaste83Row">#REF!</definedName>
    <definedName name="XRefPaste84Row" localSheetId="0">#REF!</definedName>
    <definedName name="XRefPaste84Row">#REF!</definedName>
    <definedName name="XRefPaste85Row" localSheetId="0">#REF!</definedName>
    <definedName name="XRefPaste85Row">#REF!</definedName>
    <definedName name="XRefPaste86Row" localSheetId="0">#REF!</definedName>
    <definedName name="XRefPaste86Row">#REF!</definedName>
    <definedName name="XRefPaste87Row" localSheetId="0">#REF!</definedName>
    <definedName name="XRefPaste87Row">#REF!</definedName>
    <definedName name="XRefPaste88Row" localSheetId="0">#REF!</definedName>
    <definedName name="XRefPaste88Row">#REF!</definedName>
    <definedName name="XRefPaste89Row" localSheetId="0">#REF!</definedName>
    <definedName name="XRefPaste89Row">#REF!</definedName>
    <definedName name="XRefPaste8Row" localSheetId="0">#REF!</definedName>
    <definedName name="XRefPaste8Row">#REF!</definedName>
    <definedName name="XRefPaste9" localSheetId="0">#REF!</definedName>
    <definedName name="XRefPaste9">#REF!</definedName>
    <definedName name="XRefPaste90Row" localSheetId="0">#REF!</definedName>
    <definedName name="XRefPaste90Row">#REF!</definedName>
    <definedName name="XRefPaste91Row" localSheetId="0">#REF!</definedName>
    <definedName name="XRefPaste91Row">#REF!</definedName>
    <definedName name="XRefPaste92Row" localSheetId="0">#REF!</definedName>
    <definedName name="XRefPaste92Row">#REF!</definedName>
    <definedName name="XRefPaste93Row" localSheetId="0">#REF!</definedName>
    <definedName name="XRefPaste93Row">#REF!</definedName>
    <definedName name="XRefPaste94Row" localSheetId="0">#REF!</definedName>
    <definedName name="XRefPaste94Row">#REF!</definedName>
    <definedName name="XRefPaste95Row" localSheetId="0">#REF!</definedName>
    <definedName name="XRefPaste95Row">#REF!</definedName>
    <definedName name="XRefPaste96Row" localSheetId="0">#REF!</definedName>
    <definedName name="XRefPaste96Row">#REF!</definedName>
    <definedName name="XRefPaste97Row" localSheetId="0">#REF!</definedName>
    <definedName name="XRefPaste97Row">#REF!</definedName>
    <definedName name="XRefPaste98Row" localSheetId="0">#REF!</definedName>
    <definedName name="XRefPaste98Row">#REF!</definedName>
    <definedName name="XRefPaste99Row" localSheetId="0">#REF!</definedName>
    <definedName name="XRefPaste99Row">#REF!</definedName>
    <definedName name="XRefPaste9Row" localSheetId="0">#REF!</definedName>
    <definedName name="XRefPaste9Row">#REF!</definedName>
    <definedName name="XRefPasteRangeCount">1</definedName>
    <definedName name="XXX" localSheetId="0">#REF!</definedName>
    <definedName name="XXX">#REF!</definedName>
    <definedName name="xxxx" localSheetId="0">#REF!</definedName>
    <definedName name="xxxx">#REF!</definedName>
    <definedName name="XXXXX">{"'COMBUSTÍVEIS'!$A$1:$K$88"}</definedName>
    <definedName name="Z" localSheetId="0">#REF!</definedName>
    <definedName name="Z">#REF!</definedName>
    <definedName name="Z_1" localSheetId="0">#REF!</definedName>
    <definedName name="Z_1">#REF!</definedName>
    <definedName name="Z_3" localSheetId="0">#REF!</definedName>
    <definedName name="Z_3">#REF!</definedName>
    <definedName name="Z757Z120" localSheetId="0">#REF!</definedName>
    <definedName name="Z757Z120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62913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2" i="6" l="1"/>
  <c r="D32" i="6"/>
  <c r="B32" i="6"/>
  <c r="B30" i="6"/>
  <c r="K29" i="6"/>
  <c r="I29" i="6"/>
  <c r="D29" i="6"/>
  <c r="H29" i="6" s="1"/>
  <c r="B29" i="6"/>
  <c r="K28" i="6"/>
  <c r="I28" i="6"/>
  <c r="D28" i="6"/>
  <c r="H28" i="6" s="1"/>
  <c r="B28" i="6"/>
  <c r="K27" i="6"/>
  <c r="I27" i="6"/>
  <c r="D27" i="6"/>
  <c r="H27" i="6" s="1"/>
  <c r="B27" i="6"/>
  <c r="K23" i="6"/>
  <c r="M23" i="6" s="1"/>
  <c r="D23" i="6"/>
  <c r="F23" i="6" s="1"/>
  <c r="G23" i="6" s="1"/>
  <c r="K22" i="6"/>
  <c r="I22" i="6"/>
  <c r="H22" i="6"/>
  <c r="D22" i="6"/>
  <c r="F22" i="6" s="1"/>
  <c r="G22" i="6" s="1"/>
  <c r="B22" i="6"/>
  <c r="K21" i="6"/>
  <c r="I21" i="6"/>
  <c r="H21" i="6"/>
  <c r="D21" i="6"/>
  <c r="F21" i="6" s="1"/>
  <c r="G21" i="6" s="1"/>
  <c r="B21" i="6"/>
  <c r="K18" i="6"/>
  <c r="M18" i="6" s="1"/>
  <c r="I18" i="6"/>
  <c r="F18" i="6"/>
  <c r="G18" i="6" s="1"/>
  <c r="D18" i="6"/>
  <c r="B18" i="6"/>
  <c r="K17" i="6"/>
  <c r="M17" i="6" s="1"/>
  <c r="I17" i="6"/>
  <c r="F17" i="6"/>
  <c r="G17" i="6" s="1"/>
  <c r="D17" i="6"/>
  <c r="B17" i="6"/>
  <c r="B16" i="6"/>
  <c r="D14" i="6"/>
  <c r="H14" i="6" s="1"/>
  <c r="B14" i="6"/>
  <c r="K13" i="6"/>
  <c r="M13" i="6" s="1"/>
  <c r="I13" i="6"/>
  <c r="F13" i="6"/>
  <c r="G13" i="6" s="1"/>
  <c r="D13" i="6"/>
  <c r="H13" i="6" s="1"/>
  <c r="B13" i="6"/>
  <c r="K11" i="6"/>
  <c r="M11" i="6" s="1"/>
  <c r="I11" i="6"/>
  <c r="F11" i="6"/>
  <c r="G11" i="6" s="1"/>
  <c r="D11" i="6"/>
  <c r="H11" i="6" s="1"/>
  <c r="B11" i="6"/>
  <c r="K10" i="6"/>
  <c r="M10" i="6" s="1"/>
  <c r="D10" i="6"/>
  <c r="F10" i="6" s="1"/>
  <c r="G10" i="6" s="1"/>
  <c r="B10" i="6"/>
  <c r="K9" i="6"/>
  <c r="H9" i="6"/>
  <c r="G9" i="6"/>
  <c r="F9" i="6"/>
  <c r="D9" i="6"/>
  <c r="B9" i="6"/>
  <c r="M8" i="6"/>
  <c r="K8" i="6"/>
  <c r="M29" i="6" s="1"/>
  <c r="G8" i="6"/>
  <c r="F8" i="6"/>
  <c r="D8" i="6"/>
  <c r="H8" i="6" s="1"/>
  <c r="B8" i="6"/>
  <c r="B5" i="6"/>
  <c r="B1" i="6"/>
  <c r="AA34" i="5"/>
  <c r="Y34" i="5"/>
  <c r="AA30" i="5" s="1"/>
  <c r="AA31" i="5"/>
  <c r="Y31" i="5"/>
  <c r="Y30" i="5"/>
  <c r="W30" i="5"/>
  <c r="R30" i="5"/>
  <c r="T30" i="5" s="1"/>
  <c r="U30" i="5" s="1"/>
  <c r="P30" i="5"/>
  <c r="Y29" i="5"/>
  <c r="W29" i="5"/>
  <c r="R29" i="5"/>
  <c r="T29" i="5" s="1"/>
  <c r="U29" i="5" s="1"/>
  <c r="P29" i="5"/>
  <c r="Y28" i="5"/>
  <c r="W28" i="5"/>
  <c r="R28" i="5"/>
  <c r="T28" i="5" s="1"/>
  <c r="U28" i="5" s="1"/>
  <c r="P28" i="5"/>
  <c r="Y27" i="5"/>
  <c r="W27" i="5"/>
  <c r="R27" i="5"/>
  <c r="T27" i="5" s="1"/>
  <c r="U27" i="5" s="1"/>
  <c r="P27" i="5"/>
  <c r="K26" i="5"/>
  <c r="I26" i="5"/>
  <c r="G26" i="5"/>
  <c r="F26" i="5"/>
  <c r="D26" i="5"/>
  <c r="B26" i="5"/>
  <c r="K25" i="5"/>
  <c r="I25" i="5"/>
  <c r="G25" i="5"/>
  <c r="F25" i="5"/>
  <c r="D25" i="5"/>
  <c r="B25" i="5"/>
  <c r="AA24" i="5"/>
  <c r="Y24" i="5"/>
  <c r="K24" i="5"/>
  <c r="I24" i="5"/>
  <c r="D24" i="5"/>
  <c r="F24" i="5" s="1"/>
  <c r="G24" i="5" s="1"/>
  <c r="B24" i="5"/>
  <c r="Y23" i="5"/>
  <c r="W23" i="5"/>
  <c r="R23" i="5"/>
  <c r="T23" i="5" s="1"/>
  <c r="U23" i="5" s="1"/>
  <c r="P23" i="5"/>
  <c r="K23" i="5"/>
  <c r="I23" i="5"/>
  <c r="D23" i="5"/>
  <c r="F23" i="5" s="1"/>
  <c r="G23" i="5" s="1"/>
  <c r="B23" i="5"/>
  <c r="Y22" i="5"/>
  <c r="W22" i="5"/>
  <c r="R22" i="5"/>
  <c r="T22" i="5" s="1"/>
  <c r="U22" i="5" s="1"/>
  <c r="P22" i="5"/>
  <c r="K22" i="5"/>
  <c r="I22" i="5"/>
  <c r="D22" i="5"/>
  <c r="F22" i="5" s="1"/>
  <c r="G22" i="5" s="1"/>
  <c r="B22" i="5"/>
  <c r="Y21" i="5"/>
  <c r="W21" i="5"/>
  <c r="R21" i="5"/>
  <c r="T21" i="5" s="1"/>
  <c r="U21" i="5" s="1"/>
  <c r="P21" i="5"/>
  <c r="K21" i="5"/>
  <c r="K27" i="5" s="1"/>
  <c r="M27" i="5" s="1"/>
  <c r="I21" i="5"/>
  <c r="D21" i="5"/>
  <c r="D27" i="5" s="1"/>
  <c r="B21" i="5"/>
  <c r="Y20" i="5"/>
  <c r="W20" i="5"/>
  <c r="R20" i="5"/>
  <c r="T20" i="5" s="1"/>
  <c r="U20" i="5" s="1"/>
  <c r="P20" i="5"/>
  <c r="B20" i="5"/>
  <c r="K18" i="5"/>
  <c r="Y17" i="5"/>
  <c r="K17" i="5"/>
  <c r="I17" i="5"/>
  <c r="F17" i="5"/>
  <c r="G17" i="5" s="1"/>
  <c r="D17" i="5"/>
  <c r="B17" i="5"/>
  <c r="Y16" i="5"/>
  <c r="AA16" i="5" s="1"/>
  <c r="W16" i="5"/>
  <c r="T16" i="5"/>
  <c r="U16" i="5" s="1"/>
  <c r="R16" i="5"/>
  <c r="P16" i="5"/>
  <c r="K16" i="5"/>
  <c r="I16" i="5"/>
  <c r="F16" i="5"/>
  <c r="G16" i="5" s="1"/>
  <c r="D16" i="5"/>
  <c r="B16" i="5"/>
  <c r="Y15" i="5"/>
  <c r="AA15" i="5" s="1"/>
  <c r="W15" i="5"/>
  <c r="T15" i="5"/>
  <c r="U15" i="5" s="1"/>
  <c r="R15" i="5"/>
  <c r="P15" i="5"/>
  <c r="K15" i="5"/>
  <c r="I15" i="5"/>
  <c r="F15" i="5"/>
  <c r="G15" i="5" s="1"/>
  <c r="D15" i="5"/>
  <c r="H15" i="5" s="1"/>
  <c r="B15" i="5"/>
  <c r="Y14" i="5"/>
  <c r="AA14" i="5" s="1"/>
  <c r="W14" i="5"/>
  <c r="T14" i="5"/>
  <c r="U14" i="5" s="1"/>
  <c r="R14" i="5"/>
  <c r="P14" i="5"/>
  <c r="K14" i="5"/>
  <c r="I14" i="5"/>
  <c r="F14" i="5"/>
  <c r="G14" i="5" s="1"/>
  <c r="D14" i="5"/>
  <c r="B14" i="5"/>
  <c r="Y13" i="5"/>
  <c r="AA13" i="5" s="1"/>
  <c r="W13" i="5"/>
  <c r="T13" i="5"/>
  <c r="U13" i="5" s="1"/>
  <c r="R13" i="5"/>
  <c r="P13" i="5"/>
  <c r="K13" i="5"/>
  <c r="I13" i="5"/>
  <c r="F13" i="5"/>
  <c r="G13" i="5" s="1"/>
  <c r="D13" i="5"/>
  <c r="H13" i="5" s="1"/>
  <c r="B13" i="5"/>
  <c r="Y12" i="5"/>
  <c r="AA12" i="5" s="1"/>
  <c r="W12" i="5"/>
  <c r="T12" i="5"/>
  <c r="U12" i="5" s="1"/>
  <c r="R12" i="5"/>
  <c r="P12" i="5"/>
  <c r="K12" i="5"/>
  <c r="I12" i="5"/>
  <c r="F12" i="5"/>
  <c r="G12" i="5" s="1"/>
  <c r="D12" i="5"/>
  <c r="H12" i="5" s="1"/>
  <c r="Y11" i="5"/>
  <c r="W11" i="5"/>
  <c r="R11" i="5"/>
  <c r="T11" i="5" s="1"/>
  <c r="U11" i="5" s="1"/>
  <c r="P11" i="5"/>
  <c r="K11" i="5"/>
  <c r="I11" i="5"/>
  <c r="D11" i="5"/>
  <c r="F11" i="5" s="1"/>
  <c r="G11" i="5" s="1"/>
  <c r="B11" i="5"/>
  <c r="Y10" i="5"/>
  <c r="W10" i="5"/>
  <c r="R10" i="5"/>
  <c r="T10" i="5" s="1"/>
  <c r="U10" i="5" s="1"/>
  <c r="P10" i="5"/>
  <c r="K10" i="5"/>
  <c r="K34" i="5" s="1"/>
  <c r="I10" i="5"/>
  <c r="D10" i="5"/>
  <c r="D34" i="5" s="1"/>
  <c r="B10" i="5"/>
  <c r="K8" i="5"/>
  <c r="K7" i="6" s="1"/>
  <c r="D8" i="5"/>
  <c r="R8" i="5" s="1"/>
  <c r="I183" i="4"/>
  <c r="C183" i="4"/>
  <c r="E183" i="4" s="1"/>
  <c r="F183" i="4" s="1"/>
  <c r="I182" i="4"/>
  <c r="C182" i="4"/>
  <c r="I181" i="4"/>
  <c r="E181" i="4"/>
  <c r="F181" i="4" s="1"/>
  <c r="C181" i="4"/>
  <c r="I180" i="4"/>
  <c r="C180" i="4"/>
  <c r="E180" i="4" s="1"/>
  <c r="F180" i="4" s="1"/>
  <c r="I179" i="4"/>
  <c r="I184" i="4" s="1"/>
  <c r="C179" i="4"/>
  <c r="C184" i="4" s="1"/>
  <c r="I177" i="4"/>
  <c r="C177" i="4"/>
  <c r="I172" i="4"/>
  <c r="C172" i="4"/>
  <c r="I171" i="4"/>
  <c r="C171" i="4"/>
  <c r="E171" i="4" s="1"/>
  <c r="F171" i="4" s="1"/>
  <c r="I170" i="4"/>
  <c r="C170" i="4"/>
  <c r="E170" i="4" s="1"/>
  <c r="F170" i="4" s="1"/>
  <c r="I169" i="4"/>
  <c r="E169" i="4"/>
  <c r="F169" i="4" s="1"/>
  <c r="C169" i="4"/>
  <c r="I168" i="4"/>
  <c r="C168" i="4"/>
  <c r="I167" i="4"/>
  <c r="C167" i="4"/>
  <c r="E167" i="4" s="1"/>
  <c r="F167" i="4" s="1"/>
  <c r="I166" i="4"/>
  <c r="C166" i="4"/>
  <c r="I165" i="4"/>
  <c r="E165" i="4"/>
  <c r="F165" i="4" s="1"/>
  <c r="C165" i="4"/>
  <c r="I164" i="4"/>
  <c r="C164" i="4"/>
  <c r="E164" i="4" s="1"/>
  <c r="F164" i="4" s="1"/>
  <c r="I163" i="4"/>
  <c r="C163" i="4"/>
  <c r="E163" i="4" s="1"/>
  <c r="F163" i="4" s="1"/>
  <c r="I162" i="4"/>
  <c r="E162" i="4"/>
  <c r="F162" i="4" s="1"/>
  <c r="C162" i="4"/>
  <c r="I161" i="4"/>
  <c r="C161" i="4"/>
  <c r="I160" i="4"/>
  <c r="C160" i="4"/>
  <c r="E160" i="4" s="1"/>
  <c r="F160" i="4" s="1"/>
  <c r="I159" i="4"/>
  <c r="C159" i="4"/>
  <c r="E159" i="4" s="1"/>
  <c r="F159" i="4" s="1"/>
  <c r="I158" i="4"/>
  <c r="E158" i="4"/>
  <c r="F158" i="4" s="1"/>
  <c r="C158" i="4"/>
  <c r="I157" i="4"/>
  <c r="C157" i="4"/>
  <c r="I156" i="4"/>
  <c r="C156" i="4"/>
  <c r="E156" i="4" s="1"/>
  <c r="F156" i="4" s="1"/>
  <c r="I155" i="4"/>
  <c r="I173" i="4" s="1"/>
  <c r="I175" i="4" s="1"/>
  <c r="C155" i="4"/>
  <c r="C173" i="4" s="1"/>
  <c r="I153" i="4"/>
  <c r="C153" i="4"/>
  <c r="I144" i="4"/>
  <c r="C144" i="4"/>
  <c r="E144" i="4" s="1"/>
  <c r="F144" i="4" s="1"/>
  <c r="I143" i="4"/>
  <c r="I145" i="4" s="1"/>
  <c r="I147" i="4" s="1"/>
  <c r="I149" i="4" s="1"/>
  <c r="C143" i="4"/>
  <c r="C145" i="4" s="1"/>
  <c r="I139" i="4"/>
  <c r="I140" i="4" s="1"/>
  <c r="C139" i="4"/>
  <c r="C140" i="4" s="1"/>
  <c r="I137" i="4"/>
  <c r="C137" i="4"/>
  <c r="I128" i="4"/>
  <c r="C128" i="4"/>
  <c r="I127" i="4"/>
  <c r="C127" i="4"/>
  <c r="I124" i="4"/>
  <c r="C124" i="4"/>
  <c r="E124" i="4" s="1"/>
  <c r="F124" i="4" s="1"/>
  <c r="I123" i="4"/>
  <c r="E123" i="4"/>
  <c r="F123" i="4" s="1"/>
  <c r="C123" i="4"/>
  <c r="I122" i="4"/>
  <c r="C122" i="4"/>
  <c r="I121" i="4"/>
  <c r="C121" i="4"/>
  <c r="E121" i="4" s="1"/>
  <c r="F121" i="4" s="1"/>
  <c r="I120" i="4"/>
  <c r="C120" i="4"/>
  <c r="E120" i="4" s="1"/>
  <c r="F120" i="4" s="1"/>
  <c r="I119" i="4"/>
  <c r="E119" i="4"/>
  <c r="F119" i="4" s="1"/>
  <c r="C119" i="4"/>
  <c r="I118" i="4"/>
  <c r="C118" i="4"/>
  <c r="I117" i="4"/>
  <c r="C117" i="4"/>
  <c r="E117" i="4" s="1"/>
  <c r="F117" i="4" s="1"/>
  <c r="I116" i="4"/>
  <c r="C116" i="4"/>
  <c r="E116" i="4" s="1"/>
  <c r="F116" i="4" s="1"/>
  <c r="I115" i="4"/>
  <c r="I125" i="4" s="1"/>
  <c r="I130" i="4" s="1"/>
  <c r="E115" i="4"/>
  <c r="F115" i="4" s="1"/>
  <c r="C115" i="4"/>
  <c r="I113" i="4"/>
  <c r="C113" i="4"/>
  <c r="I107" i="4"/>
  <c r="C107" i="4"/>
  <c r="I106" i="4"/>
  <c r="C106" i="4"/>
  <c r="I103" i="4"/>
  <c r="C103" i="4"/>
  <c r="E103" i="4" s="1"/>
  <c r="F103" i="4" s="1"/>
  <c r="I102" i="4"/>
  <c r="I104" i="4" s="1"/>
  <c r="I109" i="4" s="1"/>
  <c r="C102" i="4"/>
  <c r="C104" i="4" s="1"/>
  <c r="I99" i="4"/>
  <c r="C99" i="4"/>
  <c r="E99" i="4" s="1"/>
  <c r="F99" i="4" s="1"/>
  <c r="I98" i="4"/>
  <c r="C98" i="4"/>
  <c r="E98" i="4" s="1"/>
  <c r="F98" i="4" s="1"/>
  <c r="I97" i="4"/>
  <c r="C97" i="4"/>
  <c r="E97" i="4" s="1"/>
  <c r="F97" i="4" s="1"/>
  <c r="I96" i="4"/>
  <c r="E96" i="4"/>
  <c r="F96" i="4" s="1"/>
  <c r="C96" i="4"/>
  <c r="I95" i="4"/>
  <c r="I100" i="4" s="1"/>
  <c r="C95" i="4"/>
  <c r="C100" i="4" s="1"/>
  <c r="I93" i="4"/>
  <c r="C93" i="4"/>
  <c r="I87" i="4"/>
  <c r="C87" i="4"/>
  <c r="E87" i="4" s="1"/>
  <c r="F87" i="4" s="1"/>
  <c r="I86" i="4"/>
  <c r="E86" i="4"/>
  <c r="F86" i="4" s="1"/>
  <c r="C86" i="4"/>
  <c r="I85" i="4"/>
  <c r="C85" i="4"/>
  <c r="E85" i="4" s="1"/>
  <c r="F85" i="4" s="1"/>
  <c r="I84" i="4"/>
  <c r="C84" i="4"/>
  <c r="E84" i="4" s="1"/>
  <c r="F84" i="4" s="1"/>
  <c r="I83" i="4"/>
  <c r="I88" i="4" s="1"/>
  <c r="I89" i="4" s="1"/>
  <c r="C83" i="4"/>
  <c r="E83" i="4" s="1"/>
  <c r="F83" i="4" s="1"/>
  <c r="I82" i="4"/>
  <c r="E82" i="4"/>
  <c r="F82" i="4" s="1"/>
  <c r="C82" i="4"/>
  <c r="I80" i="4"/>
  <c r="C80" i="4"/>
  <c r="I72" i="4"/>
  <c r="C72" i="4"/>
  <c r="I71" i="4"/>
  <c r="C71" i="4"/>
  <c r="I67" i="4"/>
  <c r="C67" i="4"/>
  <c r="E67" i="4" s="1"/>
  <c r="F67" i="4" s="1"/>
  <c r="I66" i="4"/>
  <c r="C66" i="4"/>
  <c r="I65" i="4"/>
  <c r="E65" i="4"/>
  <c r="F65" i="4" s="1"/>
  <c r="C65" i="4"/>
  <c r="I64" i="4"/>
  <c r="F64" i="4"/>
  <c r="E64" i="4"/>
  <c r="C64" i="4"/>
  <c r="I63" i="4"/>
  <c r="I69" i="4" s="1"/>
  <c r="I74" i="4" s="1"/>
  <c r="C63" i="4"/>
  <c r="I62" i="4"/>
  <c r="C62" i="4"/>
  <c r="I47" i="4"/>
  <c r="E47" i="4"/>
  <c r="F47" i="4" s="1"/>
  <c r="C47" i="4"/>
  <c r="I46" i="4"/>
  <c r="C46" i="4"/>
  <c r="I45" i="4"/>
  <c r="I48" i="4" s="1"/>
  <c r="I49" i="4" s="1"/>
  <c r="C45" i="4"/>
  <c r="C48" i="4" s="1"/>
  <c r="I44" i="4"/>
  <c r="C44" i="4"/>
  <c r="I38" i="4"/>
  <c r="C38" i="4"/>
  <c r="I37" i="4"/>
  <c r="C37" i="4"/>
  <c r="I34" i="4"/>
  <c r="C34" i="4"/>
  <c r="E34" i="4" s="1"/>
  <c r="F34" i="4" s="1"/>
  <c r="I33" i="4"/>
  <c r="I35" i="4" s="1"/>
  <c r="I40" i="4" s="1"/>
  <c r="C33" i="4"/>
  <c r="I32" i="4"/>
  <c r="C32" i="4"/>
  <c r="I26" i="4"/>
  <c r="C26" i="4"/>
  <c r="I25" i="4"/>
  <c r="C25" i="4"/>
  <c r="I22" i="4"/>
  <c r="E22" i="4"/>
  <c r="F22" i="4" s="1"/>
  <c r="C22" i="4"/>
  <c r="I21" i="4"/>
  <c r="F21" i="4"/>
  <c r="C21" i="4"/>
  <c r="E21" i="4" s="1"/>
  <c r="I20" i="4"/>
  <c r="C20" i="4"/>
  <c r="E20" i="4" s="1"/>
  <c r="F20" i="4" s="1"/>
  <c r="I19" i="4"/>
  <c r="I23" i="4" s="1"/>
  <c r="I28" i="4" s="1"/>
  <c r="C19" i="4"/>
  <c r="C23" i="4" s="1"/>
  <c r="I18" i="4"/>
  <c r="F18" i="4"/>
  <c r="E18" i="4"/>
  <c r="C18" i="4"/>
  <c r="I17" i="4"/>
  <c r="C17" i="4"/>
  <c r="I11" i="4"/>
  <c r="C11" i="4"/>
  <c r="I10" i="4"/>
  <c r="C10" i="4"/>
  <c r="E10" i="4" s="1"/>
  <c r="F10" i="4" s="1"/>
  <c r="I8" i="4"/>
  <c r="I12" i="4" s="1"/>
  <c r="I13" i="4" s="1"/>
  <c r="C8" i="4"/>
  <c r="I7" i="4"/>
  <c r="C7" i="4"/>
  <c r="B52" i="3"/>
  <c r="B54" i="3" s="1"/>
  <c r="D50" i="3"/>
  <c r="B50" i="3"/>
  <c r="H50" i="3" s="1"/>
  <c r="A50" i="3"/>
  <c r="D49" i="3"/>
  <c r="B49" i="3"/>
  <c r="H49" i="3" s="1"/>
  <c r="A49" i="3"/>
  <c r="D48" i="3"/>
  <c r="B48" i="3"/>
  <c r="H48" i="3" s="1"/>
  <c r="A48" i="3"/>
  <c r="D45" i="3"/>
  <c r="H45" i="3" s="1"/>
  <c r="B45" i="3"/>
  <c r="A45" i="3"/>
  <c r="H44" i="3"/>
  <c r="F44" i="3"/>
  <c r="D44" i="3"/>
  <c r="B44" i="3"/>
  <c r="A44" i="3"/>
  <c r="H43" i="3"/>
  <c r="D43" i="3"/>
  <c r="B43" i="3"/>
  <c r="A43" i="3"/>
  <c r="D42" i="3"/>
  <c r="B42" i="3"/>
  <c r="A42" i="3"/>
  <c r="H39" i="3"/>
  <c r="F39" i="3" s="1"/>
  <c r="D39" i="3"/>
  <c r="B39" i="3"/>
  <c r="A39" i="3"/>
  <c r="D38" i="3"/>
  <c r="AD38" i="3" s="1"/>
  <c r="B38" i="3"/>
  <c r="A38" i="3"/>
  <c r="D37" i="3"/>
  <c r="B37" i="3"/>
  <c r="A37" i="3"/>
  <c r="D36" i="3"/>
  <c r="B36" i="3"/>
  <c r="A36" i="3"/>
  <c r="H35" i="3"/>
  <c r="F35" i="3"/>
  <c r="D35" i="3"/>
  <c r="B35" i="3"/>
  <c r="A35" i="3"/>
  <c r="J34" i="3"/>
  <c r="D34" i="3"/>
  <c r="B34" i="3"/>
  <c r="A34" i="3"/>
  <c r="D33" i="3"/>
  <c r="D52" i="3" s="1"/>
  <c r="D54" i="3" s="1"/>
  <c r="B33" i="3"/>
  <c r="A33" i="3"/>
  <c r="D27" i="3"/>
  <c r="B27" i="3"/>
  <c r="D25" i="3"/>
  <c r="B25" i="3"/>
  <c r="A25" i="3"/>
  <c r="H24" i="3"/>
  <c r="F24" i="3" s="1"/>
  <c r="D24" i="3"/>
  <c r="B24" i="3"/>
  <c r="A24" i="3"/>
  <c r="V23" i="3"/>
  <c r="D23" i="3"/>
  <c r="B23" i="3"/>
  <c r="A23" i="3"/>
  <c r="D22" i="3"/>
  <c r="B22" i="3"/>
  <c r="A22" i="3"/>
  <c r="D21" i="3"/>
  <c r="B21" i="3"/>
  <c r="A21" i="3"/>
  <c r="H20" i="3"/>
  <c r="F20" i="3"/>
  <c r="D20" i="3"/>
  <c r="B20" i="3"/>
  <c r="A20" i="3"/>
  <c r="H17" i="3"/>
  <c r="D17" i="3"/>
  <c r="B17" i="3"/>
  <c r="A17" i="3"/>
  <c r="D16" i="3"/>
  <c r="B16" i="3"/>
  <c r="A16" i="3"/>
  <c r="H15" i="3"/>
  <c r="F15" i="3" s="1"/>
  <c r="D15" i="3"/>
  <c r="B15" i="3"/>
  <c r="A15" i="3"/>
  <c r="D14" i="3"/>
  <c r="B14" i="3"/>
  <c r="A14" i="3"/>
  <c r="D13" i="3"/>
  <c r="B13" i="3"/>
  <c r="A13" i="3"/>
  <c r="D12" i="3"/>
  <c r="B12" i="3"/>
  <c r="A12" i="3"/>
  <c r="D11" i="3"/>
  <c r="B11" i="3"/>
  <c r="A11" i="3"/>
  <c r="H10" i="3"/>
  <c r="F10" i="3"/>
  <c r="D10" i="3"/>
  <c r="B10" i="3"/>
  <c r="A10" i="3"/>
  <c r="P8" i="3"/>
  <c r="J753" i="2"/>
  <c r="F753" i="2"/>
  <c r="D749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H674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16" i="2"/>
  <c r="B615" i="2"/>
  <c r="B614" i="2"/>
  <c r="B613" i="2"/>
  <c r="B612" i="2"/>
  <c r="B611" i="2"/>
  <c r="B610" i="2"/>
  <c r="B609" i="2"/>
  <c r="H608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4" i="2"/>
  <c r="B143" i="2"/>
  <c r="B142" i="2"/>
  <c r="B141" i="2"/>
  <c r="B140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S74" i="2"/>
  <c r="B74" i="2"/>
  <c r="S73" i="2"/>
  <c r="B73" i="2"/>
  <c r="S72" i="2"/>
  <c r="B72" i="2"/>
  <c r="V71" i="2"/>
  <c r="U71" i="2"/>
  <c r="S71" i="2"/>
  <c r="W71" i="2" s="1"/>
  <c r="B71" i="2"/>
  <c r="B70" i="2"/>
  <c r="W69" i="2"/>
  <c r="S69" i="2"/>
  <c r="B69" i="2"/>
  <c r="B68" i="2"/>
  <c r="W67" i="2"/>
  <c r="V67" i="2"/>
  <c r="V69" i="2" s="1"/>
  <c r="U67" i="2"/>
  <c r="S67" i="2"/>
  <c r="B67" i="2"/>
  <c r="W66" i="2"/>
  <c r="V66" i="2"/>
  <c r="U66" i="2"/>
  <c r="S66" i="2"/>
  <c r="B66" i="2"/>
  <c r="W65" i="2"/>
  <c r="S65" i="2"/>
  <c r="V65" i="2" s="1"/>
  <c r="B65" i="2"/>
  <c r="B64" i="2"/>
  <c r="W63" i="2"/>
  <c r="V63" i="2"/>
  <c r="U63" i="2"/>
  <c r="S63" i="2"/>
  <c r="B63" i="2"/>
  <c r="B62" i="2"/>
  <c r="W61" i="2"/>
  <c r="S61" i="2"/>
  <c r="V61" i="2" s="1"/>
  <c r="B61" i="2"/>
  <c r="S60" i="2"/>
  <c r="B60" i="2"/>
  <c r="S59" i="2"/>
  <c r="B59" i="2"/>
  <c r="B58" i="2"/>
  <c r="W57" i="2"/>
  <c r="V57" i="2"/>
  <c r="U57" i="2"/>
  <c r="S57" i="2"/>
  <c r="B57" i="2"/>
  <c r="V56" i="2"/>
  <c r="U56" i="2"/>
  <c r="S56" i="2"/>
  <c r="W56" i="2" s="1"/>
  <c r="B56" i="2"/>
  <c r="B55" i="2"/>
  <c r="W54" i="2"/>
  <c r="V54" i="2"/>
  <c r="U54" i="2"/>
  <c r="S54" i="2"/>
  <c r="B54" i="2"/>
  <c r="S53" i="2"/>
  <c r="B53" i="2"/>
  <c r="V52" i="2"/>
  <c r="U52" i="2"/>
  <c r="S52" i="2"/>
  <c r="W52" i="2" s="1"/>
  <c r="B52" i="2"/>
  <c r="W51" i="2"/>
  <c r="V51" i="2"/>
  <c r="U51" i="2"/>
  <c r="S51" i="2"/>
  <c r="B51" i="2"/>
  <c r="W50" i="2"/>
  <c r="V50" i="2"/>
  <c r="U50" i="2"/>
  <c r="B50" i="2"/>
  <c r="B49" i="2"/>
  <c r="W48" i="2"/>
  <c r="V48" i="2"/>
  <c r="U48" i="2"/>
  <c r="B48" i="2"/>
  <c r="S47" i="2"/>
  <c r="B47" i="2"/>
  <c r="W46" i="2"/>
  <c r="V46" i="2"/>
  <c r="U46" i="2"/>
  <c r="S46" i="2"/>
  <c r="B46" i="2"/>
  <c r="V45" i="2"/>
  <c r="S45" i="2"/>
  <c r="B45" i="2"/>
  <c r="S44" i="2"/>
  <c r="B44" i="2"/>
  <c r="B43" i="2"/>
  <c r="B42" i="2"/>
  <c r="W41" i="2"/>
  <c r="U41" i="2"/>
  <c r="S41" i="2"/>
  <c r="V41" i="2" s="1"/>
  <c r="B41" i="2"/>
  <c r="S40" i="2"/>
  <c r="B40" i="2"/>
  <c r="W39" i="2"/>
  <c r="V39" i="2"/>
  <c r="U39" i="2"/>
  <c r="S39" i="2"/>
  <c r="B39" i="2"/>
  <c r="S38" i="2"/>
  <c r="B38" i="2"/>
  <c r="S37" i="2"/>
  <c r="B37" i="2"/>
  <c r="B36" i="2"/>
  <c r="B35" i="2"/>
  <c r="W34" i="2"/>
  <c r="U34" i="2"/>
  <c r="S34" i="2"/>
  <c r="V34" i="2" s="1"/>
  <c r="B34" i="2"/>
  <c r="V33" i="2"/>
  <c r="U33" i="2"/>
  <c r="B33" i="2"/>
  <c r="W32" i="2"/>
  <c r="U32" i="2"/>
  <c r="S32" i="2"/>
  <c r="V32" i="2" s="1"/>
  <c r="B32" i="2"/>
  <c r="V31" i="2"/>
  <c r="S31" i="2"/>
  <c r="B31" i="2"/>
  <c r="W30" i="2"/>
  <c r="V30" i="2"/>
  <c r="U30" i="2"/>
  <c r="S30" i="2"/>
  <c r="B30" i="2"/>
  <c r="V29" i="2"/>
  <c r="S29" i="2"/>
  <c r="B29" i="2"/>
  <c r="W28" i="2"/>
  <c r="U28" i="2"/>
  <c r="S28" i="2"/>
  <c r="V28" i="2" s="1"/>
  <c r="B28" i="2"/>
  <c r="V27" i="2"/>
  <c r="S27" i="2"/>
  <c r="B27" i="2"/>
  <c r="B26" i="2"/>
  <c r="W25" i="2"/>
  <c r="V25" i="2"/>
  <c r="U25" i="2"/>
  <c r="B25" i="2"/>
  <c r="B24" i="2"/>
  <c r="W23" i="2"/>
  <c r="U23" i="2"/>
  <c r="S23" i="2"/>
  <c r="V23" i="2" s="1"/>
  <c r="B23" i="2"/>
  <c r="V22" i="2"/>
  <c r="S22" i="2"/>
  <c r="B22" i="2"/>
  <c r="W21" i="2"/>
  <c r="V21" i="2"/>
  <c r="U21" i="2"/>
  <c r="S21" i="2"/>
  <c r="W20" i="2"/>
  <c r="V20" i="2"/>
  <c r="U20" i="2"/>
  <c r="S20" i="2"/>
  <c r="W19" i="2"/>
  <c r="V19" i="2"/>
  <c r="U19" i="2"/>
  <c r="S19" i="2"/>
  <c r="B19" i="2"/>
  <c r="V18" i="2"/>
  <c r="S18" i="2"/>
  <c r="B18" i="2"/>
  <c r="S17" i="2"/>
  <c r="B17" i="2"/>
  <c r="B16" i="2"/>
  <c r="S15" i="2"/>
  <c r="B15" i="2"/>
  <c r="W14" i="2"/>
  <c r="U14" i="2"/>
  <c r="S14" i="2"/>
  <c r="V14" i="2" s="1"/>
  <c r="B14" i="2"/>
  <c r="S13" i="2"/>
  <c r="V13" i="2" s="1"/>
  <c r="B13" i="2"/>
  <c r="W12" i="2"/>
  <c r="V12" i="2"/>
  <c r="U12" i="2"/>
  <c r="S12" i="2"/>
  <c r="B12" i="2"/>
  <c r="S11" i="2"/>
  <c r="U11" i="2" s="1"/>
  <c r="B11" i="2"/>
  <c r="W10" i="2"/>
  <c r="V10" i="2"/>
  <c r="U10" i="2"/>
  <c r="B10" i="2"/>
  <c r="S9" i="2"/>
  <c r="V9" i="2" s="1"/>
  <c r="B9" i="2"/>
  <c r="S8" i="2"/>
  <c r="W8" i="2" s="1"/>
  <c r="B8" i="2"/>
  <c r="B7" i="2"/>
  <c r="B6" i="2"/>
  <c r="W5" i="2"/>
  <c r="V5" i="2"/>
  <c r="U5" i="2"/>
  <c r="B5" i="2"/>
  <c r="W4" i="2"/>
  <c r="V4" i="2"/>
  <c r="U4" i="2"/>
  <c r="L152" i="1"/>
  <c r="H152" i="1"/>
  <c r="H151" i="1"/>
  <c r="L144" i="1"/>
  <c r="H143" i="1"/>
  <c r="L143" i="1" s="1"/>
  <c r="S142" i="1"/>
  <c r="L142" i="1"/>
  <c r="L138" i="1" s="1"/>
  <c r="H142" i="1"/>
  <c r="L141" i="1"/>
  <c r="L140" i="1"/>
  <c r="L139" i="1"/>
  <c r="L136" i="1"/>
  <c r="L135" i="1"/>
  <c r="L134" i="1"/>
  <c r="L133" i="1"/>
  <c r="L132" i="1"/>
  <c r="H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H120" i="1"/>
  <c r="H118" i="1"/>
  <c r="L118" i="1" s="1"/>
  <c r="L116" i="1"/>
  <c r="L115" i="1"/>
  <c r="L112" i="1"/>
  <c r="L111" i="1"/>
  <c r="L110" i="1"/>
  <c r="L109" i="1"/>
  <c r="L107" i="1" s="1"/>
  <c r="L108" i="1"/>
  <c r="H107" i="1"/>
  <c r="L105" i="1"/>
  <c r="H105" i="1"/>
  <c r="H104" i="1"/>
  <c r="H98" i="1" s="1"/>
  <c r="L103" i="1"/>
  <c r="L102" i="1"/>
  <c r="L101" i="1"/>
  <c r="L100" i="1"/>
  <c r="L99" i="1"/>
  <c r="L96" i="1"/>
  <c r="L95" i="1"/>
  <c r="L94" i="1"/>
  <c r="L93" i="1"/>
  <c r="L92" i="1"/>
  <c r="L91" i="1"/>
  <c r="L90" i="1"/>
  <c r="L89" i="1"/>
  <c r="L88" i="1"/>
  <c r="L87" i="1"/>
  <c r="L86" i="1"/>
  <c r="L85" i="1"/>
  <c r="L83" i="1" s="1"/>
  <c r="L84" i="1"/>
  <c r="H83" i="1"/>
  <c r="L81" i="1"/>
  <c r="H81" i="1"/>
  <c r="H80" i="1"/>
  <c r="H76" i="1" s="1"/>
  <c r="L79" i="1"/>
  <c r="L78" i="1"/>
  <c r="L77" i="1"/>
  <c r="L74" i="1"/>
  <c r="L73" i="1"/>
  <c r="L72" i="1"/>
  <c r="L71" i="1"/>
  <c r="L70" i="1" s="1"/>
  <c r="H70" i="1"/>
  <c r="L68" i="1"/>
  <c r="L67" i="1"/>
  <c r="L58" i="1"/>
  <c r="L57" i="1" s="1"/>
  <c r="L55" i="1"/>
  <c r="L54" i="1"/>
  <c r="L53" i="1"/>
  <c r="L51" i="1"/>
  <c r="L49" i="1"/>
  <c r="L47" i="1"/>
  <c r="L46" i="1"/>
  <c r="L45" i="1"/>
  <c r="L43" i="1"/>
  <c r="L41" i="1"/>
  <c r="L39" i="1"/>
  <c r="L37" i="1"/>
  <c r="L36" i="1"/>
  <c r="L35" i="1"/>
  <c r="L26" i="1" s="1"/>
  <c r="L34" i="1"/>
  <c r="L33" i="1"/>
  <c r="L32" i="1"/>
  <c r="L31" i="1"/>
  <c r="L30" i="1"/>
  <c r="L29" i="1"/>
  <c r="L28" i="1"/>
  <c r="L27" i="1"/>
  <c r="H26" i="1"/>
  <c r="L24" i="1"/>
  <c r="L23" i="1"/>
  <c r="L22" i="1"/>
  <c r="L21" i="1"/>
  <c r="L20" i="1"/>
  <c r="L19" i="1"/>
  <c r="L18" i="1"/>
  <c r="H18" i="1"/>
  <c r="H8" i="1" s="1"/>
  <c r="L16" i="1"/>
  <c r="L15" i="1"/>
  <c r="L14" i="1"/>
  <c r="L13" i="1"/>
  <c r="L12" i="1"/>
  <c r="L11" i="1"/>
  <c r="H11" i="1"/>
  <c r="L9" i="1"/>
  <c r="L8" i="1" s="1"/>
  <c r="H63" i="1" l="1"/>
  <c r="J57" i="1"/>
  <c r="J54" i="1"/>
  <c r="J51" i="1"/>
  <c r="J47" i="1"/>
  <c r="J45" i="1"/>
  <c r="J41" i="1"/>
  <c r="J37" i="1"/>
  <c r="J35" i="1"/>
  <c r="J49" i="1"/>
  <c r="J36" i="1"/>
  <c r="J23" i="1"/>
  <c r="J21" i="1"/>
  <c r="J19" i="1"/>
  <c r="J31" i="1"/>
  <c r="J16" i="1"/>
  <c r="J12" i="1"/>
  <c r="J55" i="1"/>
  <c r="J43" i="1"/>
  <c r="J24" i="1"/>
  <c r="J22" i="1"/>
  <c r="J20" i="1"/>
  <c r="J9" i="1"/>
  <c r="J46" i="1"/>
  <c r="J32" i="1"/>
  <c r="J28" i="1"/>
  <c r="J26" i="1"/>
  <c r="J11" i="1"/>
  <c r="J27" i="1"/>
  <c r="J14" i="1"/>
  <c r="J58" i="1"/>
  <c r="J34" i="1"/>
  <c r="J30" i="1"/>
  <c r="J15" i="1"/>
  <c r="J13" i="1"/>
  <c r="J53" i="1"/>
  <c r="J39" i="1"/>
  <c r="J33" i="1"/>
  <c r="J29" i="1"/>
  <c r="L63" i="1"/>
  <c r="L80" i="1"/>
  <c r="L76" i="1" s="1"/>
  <c r="W11" i="2"/>
  <c r="U18" i="2"/>
  <c r="W18" i="2"/>
  <c r="W22" i="2"/>
  <c r="U22" i="2"/>
  <c r="U29" i="2"/>
  <c r="W29" i="2"/>
  <c r="W31" i="2"/>
  <c r="U31" i="2"/>
  <c r="H12" i="3"/>
  <c r="F12" i="3"/>
  <c r="F23" i="3"/>
  <c r="H23" i="3"/>
  <c r="H38" i="3"/>
  <c r="F38" i="3" s="1"/>
  <c r="C49" i="4"/>
  <c r="E48" i="4"/>
  <c r="F48" i="4" s="1"/>
  <c r="L104" i="1"/>
  <c r="L98" i="1" s="1"/>
  <c r="H117" i="1"/>
  <c r="R142" i="1" s="1"/>
  <c r="H138" i="1"/>
  <c r="V8" i="2"/>
  <c r="W9" i="2"/>
  <c r="J18" i="1"/>
  <c r="W27" i="2"/>
  <c r="U27" i="2"/>
  <c r="U45" i="2"/>
  <c r="W45" i="2"/>
  <c r="W47" i="2"/>
  <c r="V47" i="2"/>
  <c r="U47" i="2"/>
  <c r="W53" i="2"/>
  <c r="V53" i="2"/>
  <c r="U53" i="2"/>
  <c r="W60" i="2"/>
  <c r="V60" i="2"/>
  <c r="U60" i="2"/>
  <c r="V73" i="2"/>
  <c r="W73" i="2"/>
  <c r="U73" i="2"/>
  <c r="H22" i="3"/>
  <c r="F22" i="3" s="1"/>
  <c r="H37" i="3"/>
  <c r="F37" i="3"/>
  <c r="R143" i="1"/>
  <c r="H155" i="1"/>
  <c r="L151" i="1"/>
  <c r="L155" i="1" s="1"/>
  <c r="U38" i="2"/>
  <c r="W38" i="2"/>
  <c r="W40" i="2"/>
  <c r="U40" i="2"/>
  <c r="U69" i="2"/>
  <c r="H11" i="3"/>
  <c r="F11" i="3" s="1"/>
  <c r="H14" i="3"/>
  <c r="F14" i="3"/>
  <c r="E23" i="4"/>
  <c r="F23" i="4" s="1"/>
  <c r="C28" i="4"/>
  <c r="U15" i="2"/>
  <c r="W15" i="2"/>
  <c r="U8" i="2"/>
  <c r="U9" i="2"/>
  <c r="V11" i="2"/>
  <c r="W13" i="2"/>
  <c r="U13" i="2"/>
  <c r="V15" i="2"/>
  <c r="V38" i="2"/>
  <c r="V40" i="2"/>
  <c r="W72" i="2"/>
  <c r="W74" i="2" s="1"/>
  <c r="W76" i="2" s="1"/>
  <c r="W3" i="2" s="1"/>
  <c r="V72" i="2"/>
  <c r="V74" i="2" s="1"/>
  <c r="V76" i="2" s="1"/>
  <c r="V3" i="2" s="1"/>
  <c r="U72" i="2"/>
  <c r="H13" i="3"/>
  <c r="F13" i="3" s="1"/>
  <c r="H21" i="3"/>
  <c r="F21" i="3" s="1"/>
  <c r="H36" i="3"/>
  <c r="F36" i="3"/>
  <c r="H34" i="3"/>
  <c r="N1" i="3"/>
  <c r="F45" i="3"/>
  <c r="C12" i="4"/>
  <c r="G23" i="4" s="1"/>
  <c r="G8" i="4"/>
  <c r="E11" i="4"/>
  <c r="F11" i="4" s="1"/>
  <c r="E19" i="4"/>
  <c r="F19" i="4" s="1"/>
  <c r="C69" i="4"/>
  <c r="G82" i="4"/>
  <c r="G100" i="4"/>
  <c r="E100" i="4"/>
  <c r="F100" i="4" s="1"/>
  <c r="G118" i="4"/>
  <c r="G145" i="4"/>
  <c r="C147" i="4"/>
  <c r="E145" i="4"/>
  <c r="F145" i="4" s="1"/>
  <c r="G158" i="4"/>
  <c r="U61" i="2"/>
  <c r="U65" i="2"/>
  <c r="H16" i="3"/>
  <c r="F16" i="3" s="1"/>
  <c r="F17" i="3"/>
  <c r="H25" i="3"/>
  <c r="F25" i="3" s="1"/>
  <c r="F33" i="3"/>
  <c r="H42" i="3"/>
  <c r="F42" i="3" s="1"/>
  <c r="F43" i="3"/>
  <c r="F48" i="3"/>
  <c r="F50" i="3"/>
  <c r="E8" i="4"/>
  <c r="F8" i="4" s="1"/>
  <c r="G22" i="4"/>
  <c r="E45" i="4"/>
  <c r="F45" i="4" s="1"/>
  <c r="G45" i="4"/>
  <c r="G86" i="4"/>
  <c r="G115" i="4"/>
  <c r="G122" i="4"/>
  <c r="H33" i="3"/>
  <c r="F34" i="3"/>
  <c r="E66" i="4"/>
  <c r="F66" i="4" s="1"/>
  <c r="G96" i="4"/>
  <c r="G119" i="4"/>
  <c r="G140" i="4"/>
  <c r="E140" i="4"/>
  <c r="F140" i="4" s="1"/>
  <c r="G157" i="4"/>
  <c r="F49" i="3"/>
  <c r="G18" i="4"/>
  <c r="G20" i="4"/>
  <c r="E33" i="4"/>
  <c r="F33" i="4" s="1"/>
  <c r="C35" i="4"/>
  <c r="G104" i="4"/>
  <c r="C109" i="4"/>
  <c r="E104" i="4"/>
  <c r="F104" i="4" s="1"/>
  <c r="G161" i="4"/>
  <c r="G83" i="4"/>
  <c r="G87" i="4"/>
  <c r="E95" i="4"/>
  <c r="F95" i="4" s="1"/>
  <c r="G97" i="4"/>
  <c r="G102" i="4"/>
  <c r="G116" i="4"/>
  <c r="E118" i="4"/>
  <c r="F118" i="4" s="1"/>
  <c r="G120" i="4"/>
  <c r="E122" i="4"/>
  <c r="F122" i="4" s="1"/>
  <c r="G124" i="4"/>
  <c r="E139" i="4"/>
  <c r="F139" i="4" s="1"/>
  <c r="G143" i="4"/>
  <c r="G155" i="4"/>
  <c r="E157" i="4"/>
  <c r="F157" i="4" s="1"/>
  <c r="E161" i="4"/>
  <c r="F161" i="4" s="1"/>
  <c r="G163" i="4"/>
  <c r="G164" i="4"/>
  <c r="C186" i="4"/>
  <c r="E184" i="4"/>
  <c r="F184" i="4" s="1"/>
  <c r="G184" i="4"/>
  <c r="M26" i="5"/>
  <c r="M25" i="5"/>
  <c r="M34" i="5"/>
  <c r="M24" i="5"/>
  <c r="M23" i="5"/>
  <c r="M22" i="5"/>
  <c r="M21" i="5"/>
  <c r="M11" i="5"/>
  <c r="M10" i="5"/>
  <c r="M12" i="5"/>
  <c r="V13" i="5"/>
  <c r="M14" i="5"/>
  <c r="V15" i="5"/>
  <c r="M16" i="5"/>
  <c r="M18" i="5"/>
  <c r="C175" i="4"/>
  <c r="E173" i="4"/>
  <c r="F173" i="4" s="1"/>
  <c r="G156" i="4"/>
  <c r="E166" i="4"/>
  <c r="F166" i="4" s="1"/>
  <c r="G166" i="4"/>
  <c r="G169" i="4"/>
  <c r="I186" i="4"/>
  <c r="H14" i="5"/>
  <c r="H16" i="5"/>
  <c r="H25" i="5"/>
  <c r="C88" i="4"/>
  <c r="E102" i="4"/>
  <c r="F102" i="4" s="1"/>
  <c r="C125" i="4"/>
  <c r="E143" i="4"/>
  <c r="F143" i="4" s="1"/>
  <c r="E155" i="4"/>
  <c r="F155" i="4" s="1"/>
  <c r="G165" i="4"/>
  <c r="G168" i="4"/>
  <c r="H34" i="5"/>
  <c r="F34" i="5"/>
  <c r="G34" i="5" s="1"/>
  <c r="V12" i="5"/>
  <c r="M13" i="5"/>
  <c r="V14" i="5"/>
  <c r="M15" i="5"/>
  <c r="V16" i="5"/>
  <c r="M17" i="5"/>
  <c r="E63" i="4"/>
  <c r="F63" i="4" s="1"/>
  <c r="G182" i="4"/>
  <c r="H17" i="5"/>
  <c r="H27" i="5"/>
  <c r="F27" i="5"/>
  <c r="G27" i="5" s="1"/>
  <c r="H26" i="5"/>
  <c r="E168" i="4"/>
  <c r="F168" i="4" s="1"/>
  <c r="G170" i="4"/>
  <c r="E172" i="4"/>
  <c r="F172" i="4" s="1"/>
  <c r="G179" i="4"/>
  <c r="G183" i="4"/>
  <c r="Y8" i="5"/>
  <c r="AA10" i="5"/>
  <c r="AA11" i="5"/>
  <c r="R17" i="5"/>
  <c r="AA20" i="5"/>
  <c r="AA21" i="5"/>
  <c r="AA22" i="5"/>
  <c r="AA23" i="5"/>
  <c r="AA27" i="5"/>
  <c r="AA28" i="5"/>
  <c r="AA29" i="5"/>
  <c r="M9" i="6"/>
  <c r="H17" i="6"/>
  <c r="H18" i="6"/>
  <c r="D19" i="6"/>
  <c r="K19" i="6"/>
  <c r="M19" i="6" s="1"/>
  <c r="F27" i="6"/>
  <c r="G27" i="6" s="1"/>
  <c r="F28" i="6"/>
  <c r="G28" i="6" s="1"/>
  <c r="F29" i="6"/>
  <c r="G29" i="6" s="1"/>
  <c r="G180" i="4"/>
  <c r="E182" i="4"/>
  <c r="F182" i="4" s="1"/>
  <c r="H10" i="5"/>
  <c r="H11" i="5"/>
  <c r="V11" i="5"/>
  <c r="V20" i="5"/>
  <c r="H21" i="5"/>
  <c r="V21" i="5"/>
  <c r="H22" i="5"/>
  <c r="V22" i="5"/>
  <c r="H23" i="5"/>
  <c r="V23" i="5"/>
  <c r="H24" i="5"/>
  <c r="R24" i="5"/>
  <c r="V27" i="5"/>
  <c r="V28" i="5"/>
  <c r="V29" i="5"/>
  <c r="V30" i="5"/>
  <c r="R31" i="5"/>
  <c r="R34" i="5"/>
  <c r="D7" i="6"/>
  <c r="H10" i="6"/>
  <c r="K14" i="6"/>
  <c r="M21" i="6"/>
  <c r="M22" i="6"/>
  <c r="H23" i="6"/>
  <c r="M27" i="6"/>
  <c r="M28" i="6"/>
  <c r="E179" i="4"/>
  <c r="F179" i="4" s="1"/>
  <c r="D18" i="5"/>
  <c r="F10" i="5"/>
  <c r="G10" i="5" s="1"/>
  <c r="F21" i="5"/>
  <c r="G21" i="5" s="1"/>
  <c r="F18" i="5" l="1"/>
  <c r="G18" i="5" s="1"/>
  <c r="H18" i="5"/>
  <c r="T24" i="5"/>
  <c r="U24" i="5" s="1"/>
  <c r="V24" i="5"/>
  <c r="C130" i="4"/>
  <c r="E125" i="4"/>
  <c r="F125" i="4" s="1"/>
  <c r="G125" i="4"/>
  <c r="T34" i="5"/>
  <c r="U34" i="5" s="1"/>
  <c r="V34" i="5"/>
  <c r="M14" i="6"/>
  <c r="F14" i="6"/>
  <c r="G14" i="6" s="1"/>
  <c r="T31" i="5"/>
  <c r="U31" i="5" s="1"/>
  <c r="V31" i="5"/>
  <c r="V10" i="5"/>
  <c r="H19" i="6"/>
  <c r="F19" i="6"/>
  <c r="D25" i="6"/>
  <c r="D30" i="6" s="1"/>
  <c r="G171" i="4"/>
  <c r="C89" i="4"/>
  <c r="E88" i="4"/>
  <c r="F88" i="4" s="1"/>
  <c r="G139" i="4"/>
  <c r="G99" i="4"/>
  <c r="G95" i="4"/>
  <c r="G85" i="4"/>
  <c r="G144" i="4"/>
  <c r="G121" i="4"/>
  <c r="G117" i="4"/>
  <c r="G103" i="4"/>
  <c r="G98" i="4"/>
  <c r="G88" i="4"/>
  <c r="G84" i="4"/>
  <c r="G167" i="4"/>
  <c r="G160" i="4"/>
  <c r="G173" i="4"/>
  <c r="G181" i="4"/>
  <c r="G172" i="4"/>
  <c r="G159" i="4"/>
  <c r="G123" i="4"/>
  <c r="G65" i="4"/>
  <c r="G19" i="4"/>
  <c r="G66" i="4"/>
  <c r="G162" i="4"/>
  <c r="G47" i="4"/>
  <c r="G48" i="4"/>
  <c r="G35" i="4"/>
  <c r="C40" i="4"/>
  <c r="E35" i="4"/>
  <c r="F35" i="4" s="1"/>
  <c r="G147" i="4"/>
  <c r="C149" i="4"/>
  <c r="E147" i="4"/>
  <c r="F147" i="4" s="1"/>
  <c r="H114" i="1"/>
  <c r="L117" i="1"/>
  <c r="L114" i="1" s="1"/>
  <c r="L65" i="1" s="1"/>
  <c r="L149" i="1" s="1"/>
  <c r="L158" i="1" s="1"/>
  <c r="G69" i="4"/>
  <c r="C74" i="4"/>
  <c r="E69" i="4"/>
  <c r="F69" i="4" s="1"/>
  <c r="G64" i="4"/>
  <c r="G34" i="4"/>
  <c r="G67" i="4"/>
  <c r="G21" i="4"/>
  <c r="C13" i="4"/>
  <c r="G12" i="4"/>
  <c r="G11" i="4"/>
  <c r="G10" i="4"/>
  <c r="G63" i="4"/>
  <c r="E12" i="4"/>
  <c r="F12" i="4" s="1"/>
  <c r="G33" i="4"/>
  <c r="U74" i="2"/>
  <c r="U76" i="2" s="1"/>
  <c r="U3" i="2" s="1"/>
  <c r="J63" i="1"/>
  <c r="G19" i="6" l="1"/>
  <c r="K25" i="6"/>
  <c r="K30" i="6" s="1"/>
  <c r="M30" i="6" s="1"/>
  <c r="H65" i="1"/>
  <c r="H30" i="6"/>
  <c r="F30" i="6"/>
  <c r="G30" i="6" s="1"/>
  <c r="J135" i="1" l="1"/>
  <c r="J133" i="1"/>
  <c r="J129" i="1"/>
  <c r="J127" i="1"/>
  <c r="J125" i="1"/>
  <c r="J123" i="1"/>
  <c r="J121" i="1"/>
  <c r="J111" i="1"/>
  <c r="J109" i="1"/>
  <c r="J95" i="1"/>
  <c r="J93" i="1"/>
  <c r="J91" i="1"/>
  <c r="J89" i="1"/>
  <c r="J87" i="1"/>
  <c r="J85" i="1"/>
  <c r="J73" i="1"/>
  <c r="J71" i="1"/>
  <c r="J144" i="1"/>
  <c r="J134" i="1"/>
  <c r="J124" i="1"/>
  <c r="J90" i="1"/>
  <c r="J68" i="1"/>
  <c r="J141" i="1"/>
  <c r="J139" i="1"/>
  <c r="J136" i="1"/>
  <c r="J126" i="1"/>
  <c r="J116" i="1"/>
  <c r="J108" i="1"/>
  <c r="J81" i="1"/>
  <c r="J70" i="1"/>
  <c r="J131" i="1"/>
  <c r="J128" i="1"/>
  <c r="J110" i="1"/>
  <c r="J94" i="1"/>
  <c r="J86" i="1"/>
  <c r="J72" i="1"/>
  <c r="J67" i="1"/>
  <c r="J140" i="1"/>
  <c r="J132" i="1"/>
  <c r="J115" i="1"/>
  <c r="J112" i="1"/>
  <c r="J101" i="1"/>
  <c r="J99" i="1"/>
  <c r="J88" i="1"/>
  <c r="J77" i="1"/>
  <c r="J102" i="1"/>
  <c r="J78" i="1"/>
  <c r="J122" i="1"/>
  <c r="J103" i="1"/>
  <c r="J96" i="1"/>
  <c r="J79" i="1"/>
  <c r="J74" i="1"/>
  <c r="J105" i="1"/>
  <c r="J100" i="1"/>
  <c r="J92" i="1"/>
  <c r="J84" i="1"/>
  <c r="J76" i="1"/>
  <c r="J107" i="1"/>
  <c r="J143" i="1"/>
  <c r="J104" i="1"/>
  <c r="J98" i="1"/>
  <c r="J118" i="1"/>
  <c r="J120" i="1"/>
  <c r="J83" i="1"/>
  <c r="J151" i="1"/>
  <c r="J152" i="1"/>
  <c r="J142" i="1"/>
  <c r="J80" i="1"/>
  <c r="J117" i="1"/>
  <c r="H149" i="1"/>
  <c r="H158" i="1" s="1"/>
  <c r="J138" i="1"/>
  <c r="J114" i="1"/>
</calcChain>
</file>

<file path=xl/comments1.xml><?xml version="1.0" encoding="utf-8"?>
<comments xmlns="http://schemas.openxmlformats.org/spreadsheetml/2006/main">
  <authors>
    <author/>
  </authors>
  <commentList>
    <comment ref="W10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andre.amarante:
</t>
        </r>
        <r>
          <rPr>
            <sz val="9"/>
            <color rgb="FF000000"/>
            <rFont val="Tahoma"/>
            <family val="2"/>
            <charset val="1"/>
          </rPr>
          <t>Entender os itens pintados em amarelo.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17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andre.amarante:
</t>
        </r>
        <r>
          <rPr>
            <sz val="9"/>
            <color rgb="FF000000"/>
            <rFont val="Tahoma"/>
            <family val="2"/>
            <charset val="1"/>
          </rPr>
          <t>Explicar os itens destacados</t>
        </r>
      </text>
    </comment>
  </commentList>
</comments>
</file>

<file path=xl/sharedStrings.xml><?xml version="1.0" encoding="utf-8"?>
<sst xmlns="http://schemas.openxmlformats.org/spreadsheetml/2006/main" count="4019" uniqueCount="1041">
  <si>
    <t>FORTALEZA ESPORTE CLUBE</t>
  </si>
  <si>
    <t>Orçamento Anual</t>
  </si>
  <si>
    <t>Exercício 2020</t>
  </si>
  <si>
    <t>(Em Reais)</t>
  </si>
  <si>
    <t>REDUTOR</t>
  </si>
  <si>
    <t>Var.%</t>
  </si>
  <si>
    <t>Média Mensal</t>
  </si>
  <si>
    <t>Receita bruta de produtos e serviços</t>
  </si>
  <si>
    <t>(+) Programa Sócio Torcedor</t>
  </si>
  <si>
    <t xml:space="preserve">(+) Bilheteria </t>
  </si>
  <si>
    <t>CAMPEONATO CEARENSE</t>
  </si>
  <si>
    <t>COPA DO NORDESTE</t>
  </si>
  <si>
    <t>COPA DO BRASIL</t>
  </si>
  <si>
    <t>BRASILEIRÃO SÉRIE A</t>
  </si>
  <si>
    <t>SUL AMERICANA</t>
  </si>
  <si>
    <t>(+) Direitos de transmissão</t>
  </si>
  <si>
    <t>REEQUILÍBRIO DE DIREITO DE TRANSMISSÃO</t>
  </si>
  <si>
    <t>(+) Patrocínios</t>
  </si>
  <si>
    <t xml:space="preserve"> PATROCINADOR - MASTER FRENTE</t>
  </si>
  <si>
    <t xml:space="preserve"> PATROCINADOR - MASTER COSTAS</t>
  </si>
  <si>
    <t xml:space="preserve"> PATROCINADOR - OMOPLATA</t>
  </si>
  <si>
    <t xml:space="preserve"> PATROCINADOR - MANGA</t>
  </si>
  <si>
    <t xml:space="preserve"> PATROCINADOR - PEITORAL</t>
  </si>
  <si>
    <t xml:space="preserve"> PATROCINADOR - BARRA FRENTE</t>
  </si>
  <si>
    <t xml:space="preserve"> PATROCINADOR - BARRA COSTAS</t>
  </si>
  <si>
    <t xml:space="preserve"> PATROCINADOR - COSTAS CALÇÃO </t>
  </si>
  <si>
    <t>PREFEITURA M DE FORTALEZA</t>
  </si>
  <si>
    <t>GOVERNO DO ESTADO</t>
  </si>
  <si>
    <t>TIMEMANIA</t>
  </si>
  <si>
    <t>(+) Conselho deliberativo</t>
  </si>
  <si>
    <t>(+) Doações de conselheiros/diveros</t>
  </si>
  <si>
    <t>(+) Royalties/licenciamento marca própria</t>
  </si>
  <si>
    <t xml:space="preserve">(+) Vendas lojas próprias Leão 1918 </t>
  </si>
  <si>
    <t>(+) Vendas produtos e eventos PROJETO BASQUETE CEARENSE</t>
  </si>
  <si>
    <t>(+) Direitos econômicos</t>
  </si>
  <si>
    <t>(+) Eventos</t>
  </si>
  <si>
    <t>(+) Camarotes</t>
  </si>
  <si>
    <t>(+) Bares</t>
  </si>
  <si>
    <t>(+) Estacionamentos</t>
  </si>
  <si>
    <t>Deduções das receitas de produtos e serviços</t>
  </si>
  <si>
    <t>(-) Impostos (vendas lojas - ICMS)</t>
  </si>
  <si>
    <t>(-) Impostos (vendas lojas - COFINS)</t>
  </si>
  <si>
    <t>(-) INSS s/  roayalties, patrocínios e publicidades</t>
  </si>
  <si>
    <t>(-) Direitos de arena</t>
  </si>
  <si>
    <t xml:space="preserve">Receita operacional líquida </t>
  </si>
  <si>
    <t xml:space="preserve">(-) Custos e despesas </t>
  </si>
  <si>
    <t>(-) Custos das mercadorias vendidas</t>
  </si>
  <si>
    <t>COMPRA DE PRODUTOS</t>
  </si>
  <si>
    <t>(-) Despesas c/ bilheteria</t>
  </si>
  <si>
    <t xml:space="preserve"> ALUGUEIS / SEGUROS</t>
  </si>
  <si>
    <t xml:space="preserve"> TAXAS/ IMPOSTOS</t>
  </si>
  <si>
    <t xml:space="preserve"> DESPESAS OPERACIONAIS</t>
  </si>
  <si>
    <t xml:space="preserve"> DESPESAS EVENTUAIS (JUSTIÇA/DIVERSOS)</t>
  </si>
  <si>
    <t>(-) Despesa c/ pessoal administrativo</t>
  </si>
  <si>
    <t>FOLHA ADMINISTRATIVO</t>
  </si>
  <si>
    <t>FOLHA MKT / JURIDICO</t>
  </si>
  <si>
    <t>FOLHA DIRETORIA</t>
  </si>
  <si>
    <t xml:space="preserve"> FÉRIAS</t>
  </si>
  <si>
    <t xml:space="preserve"> 13O. SALÁRIOS</t>
  </si>
  <si>
    <t>(-) Despsas administrativas</t>
  </si>
  <si>
    <t>INVESTIMENTO PATRIMONIAL</t>
  </si>
  <si>
    <t>ALIMENTAÇÃO</t>
  </si>
  <si>
    <t>ENERGIA</t>
  </si>
  <si>
    <t>LIMPEZA</t>
  </si>
  <si>
    <t>TELEFONIA</t>
  </si>
  <si>
    <t>VALE TRANSPORTES</t>
  </si>
  <si>
    <t>MAT. EXPEDIENTE DIVERSO</t>
  </si>
  <si>
    <t>CONTABILIDADE</t>
  </si>
  <si>
    <t>AUDITORIA</t>
  </si>
  <si>
    <t>PASSAGENS AEREAS</t>
  </si>
  <si>
    <t xml:space="preserve"> AGUA</t>
  </si>
  <si>
    <t>CBF, FAAP E FEDERAÇÕES</t>
  </si>
  <si>
    <t>DEPRECIAÇÃO DE BENS</t>
  </si>
  <si>
    <t>(-) Despesas administrativas Lojas Leão 1918</t>
  </si>
  <si>
    <t>ALUGUEIS/CONDOMÍNIOS</t>
  </si>
  <si>
    <t>COMISSIONAMENTO</t>
  </si>
  <si>
    <t>PRESTADORES DE SERVIÇOS</t>
  </si>
  <si>
    <t>EVENTOS/LANÇAMENTOS</t>
  </si>
  <si>
    <t>FOLHA LOJAS</t>
  </si>
  <si>
    <t>FÉRIAS</t>
  </si>
  <si>
    <t>13º SALÁRIOS</t>
  </si>
  <si>
    <t>(-) Despesas tributárias</t>
  </si>
  <si>
    <t>FGTS</t>
  </si>
  <si>
    <t>INSS PATRONAL</t>
  </si>
  <si>
    <t>IR CLUBE /PIS/COFINS/CSSL - PATRONAL</t>
  </si>
  <si>
    <t>PROFUT / PARCELAMENTOS</t>
  </si>
  <si>
    <t xml:space="preserve"> IMPOSTOS GERAIS PENDENTES (COMP. 2019)</t>
  </si>
  <si>
    <t>(-) Despesas c/ Programa Sócio Torcedor</t>
  </si>
  <si>
    <t>CUSTO ADM SÓCIO TORCEDOR</t>
  </si>
  <si>
    <t xml:space="preserve"> FOLHA SOCIO TORCEDOR</t>
  </si>
  <si>
    <t xml:space="preserve"> 13º SALÁRIOS</t>
  </si>
  <si>
    <t>(-) Despesas c/ futebol profissional</t>
  </si>
  <si>
    <t>JOGADORES  - SALÁRIOS CARTEIRA</t>
  </si>
  <si>
    <t>DIREITO DE IMAGEM</t>
  </si>
  <si>
    <t>COMISSÃO TECNICA</t>
  </si>
  <si>
    <t>FOLHA ADM.FUTEBOL</t>
  </si>
  <si>
    <t>FOLHA DEP. MÉDICO</t>
  </si>
  <si>
    <t>AJUDO DE CUSTO - ALUGUÉIS</t>
  </si>
  <si>
    <t>PREMIAÇÕES</t>
  </si>
  <si>
    <t>ACORDOS TRABALHISTAS</t>
  </si>
  <si>
    <t>ACORDOS EXTRAJUDICIAIS</t>
  </si>
  <si>
    <t>AMORTIZAÇÃO DO INTANGÍVEL</t>
  </si>
  <si>
    <t xml:space="preserve"> HOTÉIS E ALIMENTAÇÃO</t>
  </si>
  <si>
    <t xml:space="preserve"> PASSAGENS AÉREAS (250)</t>
  </si>
  <si>
    <t xml:space="preserve"> EXTRAS GERAIS C/ JOGOS</t>
  </si>
  <si>
    <t>INTERMEDIAÇÕES JOGADORES</t>
  </si>
  <si>
    <t>(-) Despesas c/ Outras categorias</t>
  </si>
  <si>
    <t>FOLHA BASE</t>
  </si>
  <si>
    <t xml:space="preserve"> FOLHA FUTEBOL FEMININO</t>
  </si>
  <si>
    <t xml:space="preserve"> FOLHA ADM. FUTEBOL AMADOR</t>
  </si>
  <si>
    <t>DESPESAS PROJETO BASQUETE CEARENSE</t>
  </si>
  <si>
    <t>(-) Perda no recebimento de créditos</t>
  </si>
  <si>
    <t>(=)Superávit (déficit) operacional antes do resultado financeiro</t>
  </si>
  <si>
    <t>(-) Despesas financeiras</t>
  </si>
  <si>
    <t>( - ) JUROS COM EMPRÉSTIMOS</t>
  </si>
  <si>
    <t>(+) Receitas financeiras</t>
  </si>
  <si>
    <t>(=) Resultado financeiro líquido</t>
  </si>
  <si>
    <t>(=) Superávit (déficit) do exercício</t>
  </si>
  <si>
    <t>Base para montagem do Balanço e DRE</t>
  </si>
  <si>
    <t>Ativo</t>
  </si>
  <si>
    <t>Montagem do Balanço e DRE</t>
  </si>
  <si>
    <t>Passivo</t>
  </si>
  <si>
    <t>Saldo 30/06/2013</t>
  </si>
  <si>
    <t>Saldo 30/11/2013</t>
  </si>
  <si>
    <t>Resultado</t>
  </si>
  <si>
    <t>Check</t>
  </si>
  <si>
    <t>Esquerda</t>
  </si>
  <si>
    <t>Conta</t>
  </si>
  <si>
    <t>Descrição</t>
  </si>
  <si>
    <t>antes dos ajustes</t>
  </si>
  <si>
    <t>Débito</t>
  </si>
  <si>
    <t>Crédito</t>
  </si>
  <si>
    <t>Após os ajustes</t>
  </si>
  <si>
    <t>Classificação (CW)</t>
  </si>
  <si>
    <t>Classificação Cliente</t>
  </si>
  <si>
    <t>Classificação DF's 1</t>
  </si>
  <si>
    <t>Classificação DF's 2</t>
  </si>
  <si>
    <t>Base notas explicativas 1</t>
  </si>
  <si>
    <t>Base notas explicativas 2</t>
  </si>
  <si>
    <t>FUNDO FIXO CABO</t>
  </si>
  <si>
    <t>A</t>
  </si>
  <si>
    <t>Caixa e equivalentes de caixa</t>
  </si>
  <si>
    <t>Caixa e depósitos bancários a vista</t>
  </si>
  <si>
    <t>BANCO SANTANDER - AG. 363</t>
  </si>
  <si>
    <t>Circulante</t>
  </si>
  <si>
    <t>BANCO BNB - AG- 0044 - C/</t>
  </si>
  <si>
    <t>Estoques</t>
  </si>
  <si>
    <t>BANCO BNB - C/C N- 26005-</t>
  </si>
  <si>
    <t>BANCO BRASIL C/C 5963</t>
  </si>
  <si>
    <t>BANCO BNB - C/C N - 23476</t>
  </si>
  <si>
    <t>BANCO BRADESCO</t>
  </si>
  <si>
    <t>BANCO BRADESCO C/C 115986</t>
  </si>
  <si>
    <t>BANCO BRADESCO C/C 116001</t>
  </si>
  <si>
    <t>BANCO DO BRASIL C/C 6.148</t>
  </si>
  <si>
    <t>BANCO ITAU AG 715 CC 01890-9</t>
  </si>
  <si>
    <t>BANCO ITAU C/C 02444-4</t>
  </si>
  <si>
    <t>111012</t>
  </si>
  <si>
    <t>BANCO DO BRASIL AG 1911-9 CC 105963-7</t>
  </si>
  <si>
    <t>BANCO BNB AG 044 C/C 34520-9</t>
  </si>
  <si>
    <t>BANCO BNB - C/C 24889-0</t>
  </si>
  <si>
    <t>FUNDO FIXO RIO DE JANEIRO</t>
  </si>
  <si>
    <t>B</t>
  </si>
  <si>
    <t>Certificados de Depósito Bancário (CDB)</t>
  </si>
  <si>
    <t>BANCO SANTANDER CDB DI</t>
  </si>
  <si>
    <t>APLICACAO BNB 19954-7</t>
  </si>
  <si>
    <t>Não circulante</t>
  </si>
  <si>
    <t>APLICACAO BB CDB 6148-4</t>
  </si>
  <si>
    <t>APLICACAO ITAU</t>
  </si>
  <si>
    <t>APLICACAO BNB CCG ONS C/C 34520-9</t>
  </si>
  <si>
    <t>APLICACAO BRADESCO CDB 115811-2</t>
  </si>
  <si>
    <t>Poupança</t>
  </si>
  <si>
    <t>BANCO DO BRASIL POUPANÇA</t>
  </si>
  <si>
    <t>C</t>
  </si>
  <si>
    <t>Contas a receber de clientes</t>
  </si>
  <si>
    <t>COMPANHIA ENERGETICA DE A</t>
  </si>
  <si>
    <t>Contas a receber</t>
  </si>
  <si>
    <t>Juros sobre o capital próprio</t>
  </si>
  <si>
    <t>CENTRAIS ELETRICAS MATOGR</t>
  </si>
  <si>
    <t>COMPANHIA ENERGETICA DO M</t>
  </si>
  <si>
    <t>COMPANHIA DE ELETRICIDADE</t>
  </si>
  <si>
    <t>CEB DISTRIBUICAO S.A.</t>
  </si>
  <si>
    <t>ENERGISA PARAIBA DISTRIBU</t>
  </si>
  <si>
    <t>ENERGISA SERGIPE DISTRIBU</t>
  </si>
  <si>
    <t xml:space="preserve"> CIA DE ENERGIA ELETRICA D</t>
  </si>
  <si>
    <t>ENERGISA BORBOREMA DISTRI</t>
  </si>
  <si>
    <t>COMPANHIA ENERGETICA DO P</t>
  </si>
  <si>
    <t>ELETROPAULO METROPOLITANA</t>
  </si>
  <si>
    <t>COMPANHIA PAULISTA DE FOR</t>
  </si>
  <si>
    <t>CENTRAIS ELETRICAS DO PAR</t>
  </si>
  <si>
    <t>COPEL DISTRIBUICAO S.A.</t>
  </si>
  <si>
    <t>CELG DISTRIBUICAO S.A.</t>
  </si>
  <si>
    <t>COMPANHIA JAGUARI DE ENER</t>
  </si>
  <si>
    <t>Lucros (prejuízos) acumulados</t>
  </si>
  <si>
    <t>AMPLA ENERGIA E SERVICOS</t>
  </si>
  <si>
    <t>CEMIG DISTRIBUICAO S.A.</t>
  </si>
  <si>
    <t>LIGHT SERVICOS DE ELETRIC</t>
  </si>
  <si>
    <t>CELESC DISTRIBUICAO S.A.</t>
  </si>
  <si>
    <t>COMPANHIA ENERGETICA DO R</t>
  </si>
  <si>
    <t>BANDEIRANTE ENERGIA S.A.</t>
  </si>
  <si>
    <t>COMPANHIA ENERGETICA DO C</t>
  </si>
  <si>
    <t xml:space="preserve"> COMPANHIA PIRATININGA DE</t>
  </si>
  <si>
    <t>RIO GRANDE ENERGIA S.A. -</t>
  </si>
  <si>
    <t xml:space="preserve"> EMPRESA ENERGETICA DE MAT</t>
  </si>
  <si>
    <t>COMPANHIA ENERGETICA DE P</t>
  </si>
  <si>
    <t>COMPANHIA ESTADUAL DE DIS</t>
  </si>
  <si>
    <t>ESPIRITO SANTO CENTRAIS E</t>
  </si>
  <si>
    <t>AES SUL DISTRIBUIDORA GAU</t>
  </si>
  <si>
    <t xml:space="preserve"> ENERGIA MINAS GERAIS DIST</t>
  </si>
  <si>
    <t>ELEKTRO ELETRICIDADE E SE</t>
  </si>
  <si>
    <t>COMPANHIA LESTE PAULISTA DE ENERGIA</t>
  </si>
  <si>
    <t>COMPANHIA FORCA E LUZ SANTA CRUZ</t>
  </si>
  <si>
    <t>CAIUA - DISTRIBUICAO DE ENERGIA S.A</t>
  </si>
  <si>
    <t>COMPANHIA NACIONAL DE ENERGIA ELETRICA</t>
  </si>
  <si>
    <t>EMP DIST ENERGIA VALE PARANAPANEMA SA</t>
  </si>
  <si>
    <t>Valores a faturar</t>
  </si>
  <si>
    <t>CLIENTES DIVERSOS</t>
  </si>
  <si>
    <t>D</t>
  </si>
  <si>
    <t>EMPREGADOS</t>
  </si>
  <si>
    <t>Outros créditos</t>
  </si>
  <si>
    <t>ADIANTAMENTO DE FERIAS</t>
  </si>
  <si>
    <t>ADIANT 13 SALARIO</t>
  </si>
  <si>
    <t>F</t>
  </si>
  <si>
    <t>IRRF sobre aplicação financeira</t>
  </si>
  <si>
    <t>IRRF SOBRE APLICACAO FINA</t>
  </si>
  <si>
    <t>Tributos e contribuições a recuperar</t>
  </si>
  <si>
    <t>IRRF SOBRE APLICACAO BANC</t>
  </si>
  <si>
    <t>Outros</t>
  </si>
  <si>
    <t>INSS A RECUPERAR</t>
  </si>
  <si>
    <t>PIS A COMPENSAR</t>
  </si>
  <si>
    <t>COFINS A COMPENSAR</t>
  </si>
  <si>
    <t>PIS/COFINS/CSL A COMPENSA</t>
  </si>
  <si>
    <t>IR A COMPENSAR 2010</t>
  </si>
  <si>
    <t>IR A COMPENSAR 2011</t>
  </si>
  <si>
    <t>PIS A RECUPERAR</t>
  </si>
  <si>
    <t>COFINS A RECUPERAR</t>
  </si>
  <si>
    <t>PIS RETIDO</t>
  </si>
  <si>
    <t>COFINS RETIDO</t>
  </si>
  <si>
    <t>Imposto de Renda</t>
  </si>
  <si>
    <t>IRPJ RETIDO</t>
  </si>
  <si>
    <t>Contribuição Social</t>
  </si>
  <si>
    <t>CSLL RETIDO</t>
  </si>
  <si>
    <t>IRPJ A RECUPERAR</t>
  </si>
  <si>
    <t>CSLL A RECUPERAR</t>
  </si>
  <si>
    <t>IRPJ A COMPENSAR 2012</t>
  </si>
  <si>
    <t>ISS A RECUPERAR</t>
  </si>
  <si>
    <t>H</t>
  </si>
  <si>
    <t>112413</t>
  </si>
  <si>
    <t>LASTRO A RECUPERAR</t>
  </si>
  <si>
    <t>Operações com energia elétrica a recuperar</t>
  </si>
  <si>
    <t>LIQUIDACAO NO MCP</t>
  </si>
  <si>
    <t>FORNECEDORES</t>
  </si>
  <si>
    <t>OUTROS DEVEDORES</t>
  </si>
  <si>
    <t>E</t>
  </si>
  <si>
    <t>Combustível</t>
  </si>
  <si>
    <t>OLEO COMBUSTIVEL BRUTO</t>
  </si>
  <si>
    <t>OLEO DIESEL</t>
  </si>
  <si>
    <t>OLEO LUBRIFICANTE</t>
  </si>
  <si>
    <t>Adiantamentos a fornecedores</t>
  </si>
  <si>
    <t>B_1</t>
  </si>
  <si>
    <t>FAT- Proinfra (a)</t>
  </si>
  <si>
    <t>ADIANTAMENTOS A FORNECEDORES</t>
  </si>
  <si>
    <t>Outras</t>
  </si>
  <si>
    <t>APLICACAO BNB 24889-0</t>
  </si>
  <si>
    <t>G</t>
  </si>
  <si>
    <t>Aplicações financeiras restritas</t>
  </si>
  <si>
    <t>APLICACAO BNB CTA REINVEST C/C 896-2</t>
  </si>
  <si>
    <t>SERVICOS EM CURSO- P&amp;D</t>
  </si>
  <si>
    <t>IPVA</t>
  </si>
  <si>
    <t>Despesas pagas antecipadamente</t>
  </si>
  <si>
    <t>TAXA DE BOMBEIRO</t>
  </si>
  <si>
    <t>PREMIO DE SEGUROS</t>
  </si>
  <si>
    <t>IPTU</t>
  </si>
  <si>
    <t>C_1</t>
  </si>
  <si>
    <t>B_2</t>
  </si>
  <si>
    <t>Garantia (FI) FNE (b)</t>
  </si>
  <si>
    <t>CENTRIAS ELETRICAS DO PAR</t>
  </si>
  <si>
    <t>Títulos a receber LP</t>
  </si>
  <si>
    <t>Partes relacionadas (c)</t>
  </si>
  <si>
    <t>APLICACAO BNB 19955-5 LP</t>
  </si>
  <si>
    <t>Aplicações financeiras restritas LP</t>
  </si>
  <si>
    <t xml:space="preserve">Garantia (FI) FAT (b) </t>
  </si>
  <si>
    <t>APLICACAO BANCO BRASIL CD</t>
  </si>
  <si>
    <t>121831</t>
  </si>
  <si>
    <t>APLICACAO BNB 23476-8</t>
  </si>
  <si>
    <t>APLICACAO BNB 24889-0 LP</t>
  </si>
  <si>
    <t>F_1</t>
  </si>
  <si>
    <t>Imposto de Renda diferido (a)</t>
  </si>
  <si>
    <t>APLICACAO BANCO DO BRASIL CDB 10614-8</t>
  </si>
  <si>
    <t>Contribuição Social diferida (a)</t>
  </si>
  <si>
    <t>IRPJ DIFERIDO S/DIFERENCA</t>
  </si>
  <si>
    <t>K</t>
  </si>
  <si>
    <t>Ativo fiscal diferido</t>
  </si>
  <si>
    <t>CSLL DIFERIDA S/DIFERENCA</t>
  </si>
  <si>
    <t>EDIFICACOES- OBRAS CIVIS</t>
  </si>
  <si>
    <t>Imobilizado</t>
  </si>
  <si>
    <t>MAQUINAS E EQUIPAMENTOS</t>
  </si>
  <si>
    <t>MOVEIS E UTENSILIOS</t>
  </si>
  <si>
    <t>INTANGIVEIS</t>
  </si>
  <si>
    <t>Intangível</t>
  </si>
  <si>
    <t>VEICULOS</t>
  </si>
  <si>
    <t>INSTALACOES EM ANDAMENTO</t>
  </si>
  <si>
    <t>COMISSAO S/ CARTA DE CRED</t>
  </si>
  <si>
    <t>IOF S/EMPRESTIMOS</t>
  </si>
  <si>
    <t>ESTUDOS E PROJETOS</t>
  </si>
  <si>
    <t>COMPRAS EM ANDAMENTO</t>
  </si>
  <si>
    <t>IMPORTACOES EM ANDAMENTO</t>
  </si>
  <si>
    <t>132011</t>
  </si>
  <si>
    <t>M</t>
  </si>
  <si>
    <t>JUROS CAPITALIZADOS S/ EM</t>
  </si>
  <si>
    <t>TERRENOS</t>
  </si>
  <si>
    <t>132012</t>
  </si>
  <si>
    <t>EDIFICACOES, OBRAS CIVIS E BENFEITORIAS</t>
  </si>
  <si>
    <t>COMPUTADORES E PERIFERICO</t>
  </si>
  <si>
    <t>N</t>
  </si>
  <si>
    <t>DESPESAS PRE-OPERACIONAIS</t>
  </si>
  <si>
    <t>AA</t>
  </si>
  <si>
    <t>Diferido</t>
  </si>
  <si>
    <t>Outros fornecedores</t>
  </si>
  <si>
    <t>Petrobras Distribuidora S.A.</t>
  </si>
  <si>
    <t>ENCARGOS DE USO DA REDE E</t>
  </si>
  <si>
    <t>Fornecedores</t>
  </si>
  <si>
    <t>PETROBRAS DISTRIBUIDORA S</t>
  </si>
  <si>
    <t>211012</t>
  </si>
  <si>
    <t>PETROBRAS DISTRIBUIDORA S A</t>
  </si>
  <si>
    <t>PETROLEO BRASILEIRO S/A -LASTRO</t>
  </si>
  <si>
    <t>IPIRANGA PRODUTOS DE PETROLEO S/A</t>
  </si>
  <si>
    <t>DISTRIBUIDORA CAVALO MARINHO LTDA</t>
  </si>
  <si>
    <t>ANDREMAR SERVICOS EXPRESS</t>
  </si>
  <si>
    <t>CELPE - GRUPO NEOENERGIA</t>
  </si>
  <si>
    <t>CIL- COM- DE INFORMATICA</t>
  </si>
  <si>
    <t>DELL COMPUTADORES DO BRAS</t>
  </si>
  <si>
    <t>DPC COMERCIO E REPRESENTA</t>
  </si>
  <si>
    <t>GVT - GLOBAL VILLAGE TELE</t>
  </si>
  <si>
    <t>JORNAL VALOR ECONOMICO</t>
  </si>
  <si>
    <t>KAIC S/A - ADM DE IMOVEIS</t>
  </si>
  <si>
    <t>LOCAWEB SERVICOS DE INTER</t>
  </si>
  <si>
    <t>LUCRE RECURSOS HUMANOS CO</t>
  </si>
  <si>
    <t>MARIA DAS GRACAS LIMA E S</t>
  </si>
  <si>
    <t>MXP EVENTOS E SERVICOS LT</t>
  </si>
  <si>
    <t>NORBERTO DE JESUS FILHO</t>
  </si>
  <si>
    <t>Rveras Consultoria</t>
  </si>
  <si>
    <t>POTENCIAL TECNOLOGIA</t>
  </si>
  <si>
    <t>RICARDO COIMBRA DE LEMOS</t>
  </si>
  <si>
    <t>RVERAS CONSULTORIA FINANC</t>
  </si>
  <si>
    <t>SISTEC CONSULTORES ASSOCI</t>
  </si>
  <si>
    <t>SODEXO PASS DO BRASIL</t>
  </si>
  <si>
    <t>TELEMAR NORTE LESTE S/A</t>
  </si>
  <si>
    <t>TERMINAL GARAGEN MENEZES</t>
  </si>
  <si>
    <t>TOLEZANO ADVOGADOS</t>
  </si>
  <si>
    <t>UNIMED DO EST SP</t>
  </si>
  <si>
    <t>VILLEMOR-TRIGUEIRO-SAUER</t>
  </si>
  <si>
    <t>VIVO S-A</t>
  </si>
  <si>
    <t>WOLL WILLIAMS E OLIV LOG</t>
  </si>
  <si>
    <t>8° OFICIO DE NOTAS - TABE</t>
  </si>
  <si>
    <t>BREMEN VEICULOS LTDA</t>
  </si>
  <si>
    <t>CASA DO EPI COMERCIO LTDA</t>
  </si>
  <si>
    <t>CPRH - AGENCIA ESTADUAL M</t>
  </si>
  <si>
    <t>DATA CERTA</t>
  </si>
  <si>
    <t>EMBRATEL</t>
  </si>
  <si>
    <t>FABIO PINTO COELHO</t>
  </si>
  <si>
    <t>MAYARA PEIXOTO QUINTINO M</t>
  </si>
  <si>
    <t>PETROLEO BRASILEIRO S/A -</t>
  </si>
  <si>
    <t>PLENO CONSULTORIA E SERVI</t>
  </si>
  <si>
    <t>ROBERTA CHRISTINA SOARES</t>
  </si>
  <si>
    <t>Wartsila Brasil</t>
  </si>
  <si>
    <t>SUZANA DE SOUZA OLIVEIRA</t>
  </si>
  <si>
    <t>TARUMAN VIAGENS E TURISMO</t>
  </si>
  <si>
    <t>WÄRTSILÄ BRASIL LTDA</t>
  </si>
  <si>
    <t>WILSON BRASIL</t>
  </si>
  <si>
    <t>TOTVS S-A</t>
  </si>
  <si>
    <t>EXPERTISE AUDITORIA E CON</t>
  </si>
  <si>
    <t>EVOLUTA SEG E SAUDE OCUPA</t>
  </si>
  <si>
    <t>ENERCON-MIX COM CONSTRUC</t>
  </si>
  <si>
    <t>MP SYSTEM PROVEDOR DE INT</t>
  </si>
  <si>
    <t>Toshiba do Brasil Ltda.</t>
  </si>
  <si>
    <t>LOGIMEX COM EXTERIOR LTDA</t>
  </si>
  <si>
    <t>ACE SEGURADORA S-A</t>
  </si>
  <si>
    <t>TOSHIBA</t>
  </si>
  <si>
    <t>DLS VIAGENS E TURISMO - F</t>
  </si>
  <si>
    <t>KT FORESCAST DESENHOS TEC</t>
  </si>
  <si>
    <t>PORTO DIGITAL LTDA - INFO</t>
  </si>
  <si>
    <t>BANCO REAL - CARTAO CORPO</t>
  </si>
  <si>
    <t>MMC PANIFICACAO LTDA</t>
  </si>
  <si>
    <t>NORTEL SUPRIMENTOS INDUST</t>
  </si>
  <si>
    <t>MANZI ADVOGADOS ASSOCIADO</t>
  </si>
  <si>
    <t>CHARLES ANTONY CORDEIRO D</t>
  </si>
  <si>
    <t>DEPARTAMENTO DE ESTRADAS</t>
  </si>
  <si>
    <t>NITS CLEAN COMERCIO DIST.</t>
  </si>
  <si>
    <t>8 OFICIO DE NOTAS DO RECI</t>
  </si>
  <si>
    <t>PINHEIRO GUIMARAES ADVOGA</t>
  </si>
  <si>
    <t>OFILOC LOCADORA LTDA</t>
  </si>
  <si>
    <t>BRANDAO FILHOS FORTSHIP P</t>
  </si>
  <si>
    <t>DELOITTE TOUCHE TOHMATSU</t>
  </si>
  <si>
    <t>OPERADOR NACIONAL DO SIST</t>
  </si>
  <si>
    <t>PERNAMBUCO CONSTRUTORA EM</t>
  </si>
  <si>
    <t xml:space="preserve"> ADPL MOTORS LTDA - MITSUB</t>
  </si>
  <si>
    <t>AMBIENGE - ENGENHARIA AMB</t>
  </si>
  <si>
    <t>POSTO PORTAL DE SUAPE LTD</t>
  </si>
  <si>
    <t>SUATA SERV. UNIF. ARMAZ.</t>
  </si>
  <si>
    <t>POSTO JK - ESTACAO SERVIC</t>
  </si>
  <si>
    <t>STI INFORMATICA LTDA</t>
  </si>
  <si>
    <t>AUTOTINTAS LTDA</t>
  </si>
  <si>
    <t>MENDES CAMINHA EMPREEND.</t>
  </si>
  <si>
    <t>ELETROSHOPPING LTDA</t>
  </si>
  <si>
    <t>PROJESUN - PROJETOS E SER</t>
  </si>
  <si>
    <t>EMPRESA BRASILEIRA DE COR</t>
  </si>
  <si>
    <t>DA TERRA PAISAGISMO &amp; JAR</t>
  </si>
  <si>
    <t>AUREA CAROLINE ALVES DE O</t>
  </si>
  <si>
    <t>ELZA PEREIRA DOS SANTOS</t>
  </si>
  <si>
    <t>CTS CONSTRUTORA T SERGIO</t>
  </si>
  <si>
    <t>MOBILICIDADE TECNOLOGIA L</t>
  </si>
  <si>
    <t>RESTAURANTE E SOPARIA</t>
  </si>
  <si>
    <t>N B CAVALCANTI LTDA - TEL</t>
  </si>
  <si>
    <t>BRAVA TRANSPORTES E MUDAN</t>
  </si>
  <si>
    <t>PLUS SERVICE SOLUCOES INT</t>
  </si>
  <si>
    <t>NIAGARA COMERCIAL S.A.</t>
  </si>
  <si>
    <t>NELSON BRANDAO</t>
  </si>
  <si>
    <t>EDNALDO DE MENDOÇA LINS</t>
  </si>
  <si>
    <t>ELISIO ALVES EMPRENDIMENT</t>
  </si>
  <si>
    <t>RECICABOS COMERCIAL LTDA</t>
  </si>
  <si>
    <t>APL- ATACADAO DE PAPELARI</t>
  </si>
  <si>
    <t>INFO PLACE COM. DE PROD.</t>
  </si>
  <si>
    <t>OMNI DO BRASIL EMPREENDIM</t>
  </si>
  <si>
    <t>BELLA MOVEIS &amp; SERVICOS -</t>
  </si>
  <si>
    <t>VENTAR - MARANY GAMA LIMA</t>
  </si>
  <si>
    <t>ENGTEC ENGENHARIA - ENGEN</t>
  </si>
  <si>
    <t>CCEE - CAMARA DE COMERCIA</t>
  </si>
  <si>
    <t>MANGOFLEX LTDA</t>
  </si>
  <si>
    <t>IND. E COM. DE CHOCOLATES</t>
  </si>
  <si>
    <t>COMPANHIA DE SEGUROS ALIA</t>
  </si>
  <si>
    <t>SP EQUIPAMENTOS DE PROT T</t>
  </si>
  <si>
    <t>PONTUAL MATS.P/ESCRITORIO</t>
  </si>
  <si>
    <t>DLP COMERCIO DE EPI LTDA</t>
  </si>
  <si>
    <t>SOLIMPE MATERIAIS DE LIMP</t>
  </si>
  <si>
    <t>IBI ETE CONSULTING LTDA</t>
  </si>
  <si>
    <t>AGGREKO ENERGIA LOCACAO D</t>
  </si>
  <si>
    <t>VANESSA TENORIO SANTOS MO</t>
  </si>
  <si>
    <t>BRAND ASSESSORIA CONTABIL</t>
  </si>
  <si>
    <t>CESTAS NORDESTE COM. DE A</t>
  </si>
  <si>
    <t>AMARA DA PENHA BARROS DA</t>
  </si>
  <si>
    <t>SANDOVAL FRANCISCO DE MIR</t>
  </si>
  <si>
    <t>MOISIES JOSE DA SILVA</t>
  </si>
  <si>
    <t>GENICE MARIA DA SILVA</t>
  </si>
  <si>
    <t>FLORIDA ALIMENTOS LTDA -</t>
  </si>
  <si>
    <t>HIGSERV SERVICOS AMBIENTA</t>
  </si>
  <si>
    <t>SUAPE EMPREENDIMENTOS AMB</t>
  </si>
  <si>
    <t>JBD DISTRIBUIDORA DE AGUA</t>
  </si>
  <si>
    <t>ELMA MARIA ARAUJO NASCIME</t>
  </si>
  <si>
    <t>BDO RCS AUDITORES INDEPEN</t>
  </si>
  <si>
    <t>CERAMA TRANSPORTES LTDA</t>
  </si>
  <si>
    <t>SADIA S/A</t>
  </si>
  <si>
    <t xml:space="preserve"> JHM COMERCIAL E SERVIÇOS</t>
  </si>
  <si>
    <t>PERNAMBUCO DISTRIBUIDORA</t>
  </si>
  <si>
    <t>ROSENEIDE MARIA VASQUES</t>
  </si>
  <si>
    <t>DIGITAL GOLD ELETRONICOS</t>
  </si>
  <si>
    <t>VIA LIMPA LTDA. EPP</t>
  </si>
  <si>
    <t>F GENES CIA LTDA.</t>
  </si>
  <si>
    <t>ABA ENGENHARIA LTDA</t>
  </si>
  <si>
    <t>MOVITRACAO MAQUINAS</t>
  </si>
  <si>
    <t>ADMINISTRARH CONTABIL</t>
  </si>
  <si>
    <t>APARECIDA DE FATIMA DA SI</t>
  </si>
  <si>
    <t>BANCO BRADESCO S/A</t>
  </si>
  <si>
    <t>CIA PERNAMBUCANA DE SANEA</t>
  </si>
  <si>
    <t>3146PRISMATELECOMUNICACOESL</t>
  </si>
  <si>
    <t>3148RESSEGDISTRIBUIDORALTDA</t>
  </si>
  <si>
    <t>3164BRANDAPPRAISALENGENHARI</t>
  </si>
  <si>
    <t>3167RILDOCEZARMENDESPORDEU</t>
  </si>
  <si>
    <t>ESCRITORIO COELHO DE SOUZ</t>
  </si>
  <si>
    <t>BRADESCO SAUDE</t>
  </si>
  <si>
    <t>D RODRIGUES E CIA LTDA</t>
  </si>
  <si>
    <t>ON LINE GRAFHIC DIGITAL L</t>
  </si>
  <si>
    <t>EXTIN INDUSTRIA COMERCIO</t>
  </si>
  <si>
    <t>METALSHOP INDUSTRIA E COM</t>
  </si>
  <si>
    <t>GLAUCO CAMPOS</t>
  </si>
  <si>
    <t>SET SISTEMAS E PRODUTOS T</t>
  </si>
  <si>
    <t>FERIMPORT COMERCIO REP E</t>
  </si>
  <si>
    <t>4M TREINAMENTOS EMP E ASS</t>
  </si>
  <si>
    <t>MARLUVAS CALCADOS DE SEGU</t>
  </si>
  <si>
    <t>AGENCIA NACIONAL DE TELEC</t>
  </si>
  <si>
    <t>F DELLA SANTA -ME</t>
  </si>
  <si>
    <t>SCHWEITZER ENGINEERING LA</t>
  </si>
  <si>
    <t>FORTMETAL DO NORDESTE</t>
  </si>
  <si>
    <t>MESA COMERCIO DE MATERIAI</t>
  </si>
  <si>
    <t>Wartsila Finlândia</t>
  </si>
  <si>
    <t>NATURAL LIMP EQUIPAMENTOS</t>
  </si>
  <si>
    <t>(-) COMPRAS PARA ENTREGA</t>
  </si>
  <si>
    <t>WARTSILA FINLAND OY</t>
  </si>
  <si>
    <t>ANDREMAR SERVICOS EXPRESSOS</t>
  </si>
  <si>
    <t>CIL- COM. DE INFORMATICA LTDA</t>
  </si>
  <si>
    <t>CTEE CENTRO DE TREINAMENTO</t>
  </si>
  <si>
    <t>DELL COMPUTADORES DO BRASIL LT</t>
  </si>
  <si>
    <t>DPC COMERCIO E REPRESENTACOES</t>
  </si>
  <si>
    <t>GVT - GLOBAL VILLAGE TELECOM</t>
  </si>
  <si>
    <t>KAIC S/A - ADM DE IMOVEIS E CORR</t>
  </si>
  <si>
    <t>LOCAWEB SERVICOS DE INTERNET</t>
  </si>
  <si>
    <t>RVERAS CONSULTORIA FINANCEIRA</t>
  </si>
  <si>
    <t>SISTEC CONSULTORES ASSOCIADOS</t>
  </si>
  <si>
    <t>VILLEMOR,TRIGUEIRO,SAUER E ADV</t>
  </si>
  <si>
    <t>VIVO S.A</t>
  </si>
  <si>
    <t>8° OFICIO DE NOTAS - TABELIAO GUSTAVO BA</t>
  </si>
  <si>
    <t>IINFOHOUSE-E&amp;F COMERCIO E SERVICO DE INF</t>
  </si>
  <si>
    <t>PETROLEO BRASILEIRO S/A - 1</t>
  </si>
  <si>
    <t>PLENO CONSULTORIA E SERVICOS LTDA</t>
  </si>
  <si>
    <t>SUZANA WOLF JORDAO</t>
  </si>
  <si>
    <t>TOKIO MARINE SE-OCT - REALPAC</t>
  </si>
  <si>
    <t>WARTSILA BRASIL LTDA</t>
  </si>
  <si>
    <t>TOTVS S.A</t>
  </si>
  <si>
    <t>ERNST &amp; YOUNG AUDITORES IDEPENDENTES S.</t>
  </si>
  <si>
    <t>ONDA MAR HOTEL-CAMINHA EMPREENDIMENTOS H</t>
  </si>
  <si>
    <t>MP SYSTEM PROVEDOR DE INTERNET LTDA-ME</t>
  </si>
  <si>
    <t>ABRH-ASSOC BRASILEIRA DE RECURSOS HUMANO</t>
  </si>
  <si>
    <t>PORTO DIGITAL LTDA-INFOBOX</t>
  </si>
  <si>
    <t>BANCO SANTANDER-CARTAO CORPORATIVO</t>
  </si>
  <si>
    <t>8 OFICIO NOTAS DO RECIFE-TABEL FIGUEIRED</t>
  </si>
  <si>
    <t>MANZI ADVOGADOS</t>
  </si>
  <si>
    <t>DELOITTE TOUCHE TOHMATSU AUDITORES INDEP</t>
  </si>
  <si>
    <t>OPERADOR NACIONAL DO SISTEMA ELETRICO</t>
  </si>
  <si>
    <t>CHARLES ANTONY CORDEIRO DE ARAUJO</t>
  </si>
  <si>
    <t>ADPL MOTORS LTDA</t>
  </si>
  <si>
    <t>FERREIRA COSTA E CIA LTDA</t>
  </si>
  <si>
    <t>POSTO PORTAL DE SUAPE LTDA</t>
  </si>
  <si>
    <t>S.T.I. - CONSULTORIA E INFORMATICA LTDA</t>
  </si>
  <si>
    <t>EMPRESA BRAS. DE CORREIOS E TELEGRAFOS</t>
  </si>
  <si>
    <t>N.B. CAVALCANTI LTDA</t>
  </si>
  <si>
    <t>AUREA CAROLINE ALVES DE OLIVEIRA</t>
  </si>
  <si>
    <t>ALEXANDRE VENCESLAU DA SILVA</t>
  </si>
  <si>
    <t>SOLUTION.COM COMERCIO E SERVICOS LTDA</t>
  </si>
  <si>
    <t>DHP VIAGENS E TURISMO LTDA</t>
  </si>
  <si>
    <t>PLUS SERVICE SOLUCOES INTEGRADAS LTDA ME</t>
  </si>
  <si>
    <t>SERTTEL LTDA</t>
  </si>
  <si>
    <t>COMLUB COMERCIAL DE LUBRIFICANTES LTDA</t>
  </si>
  <si>
    <t>GEORGIA PORTO DE OLIVEIRA</t>
  </si>
  <si>
    <t>ANA ELISABETH FALCAO INTERAMINENSE</t>
  </si>
  <si>
    <t>SP EQUIPAMENTOS DE PROTECAO AO TRABALHO</t>
  </si>
  <si>
    <t>COMPANHIA DE SEGUROS ALIANCA DO BRASIL</t>
  </si>
  <si>
    <t>BDO RCS AUDITORES INDEPENDENTES S.S</t>
  </si>
  <si>
    <t>SOLIMPE MATERIAIS DE LIMPEZA LTDA</t>
  </si>
  <si>
    <t>GE WATER &amp; PROCESS TECHNOLOGIES DO BRASI</t>
  </si>
  <si>
    <t>HIGSERV SERVICOS AMBIENTAIS LTDA ME</t>
  </si>
  <si>
    <t>VIA LIMPA LTDA</t>
  </si>
  <si>
    <t>F GENES CIA LTDA</t>
  </si>
  <si>
    <t>BRADESCO AUTO/RE COMPANHIA DE SEGUROS</t>
  </si>
  <si>
    <t>MOVITRACAO EQUIPAMENTOS LTDA  EPP</t>
  </si>
  <si>
    <t>PAULO CEZAR PINHEIRO CARNEIRO ADV ASSOCI</t>
  </si>
  <si>
    <t>DIGITAL GOLD 333 ELETRONICOS E INF LTDA</t>
  </si>
  <si>
    <t>ADMINISTRARH CONTABIL LTDA ME</t>
  </si>
  <si>
    <t>EVOLUTA SEGURANCA E SAUDE OCUPACIONAL LT</t>
  </si>
  <si>
    <t>TRANSPORTADORA CAPIVARI</t>
  </si>
  <si>
    <t>ACR RECORTES DE DIARIOS OFICIAIS LTDA</t>
  </si>
  <si>
    <t>NITS CLEAN COMERCIO DE MATERIAL DE LIMPE</t>
  </si>
  <si>
    <t>PRESYS INSTRUMENTOS E SISTEMAS</t>
  </si>
  <si>
    <t>BRASPEL COMERCIO LTDA</t>
  </si>
  <si>
    <t>JUNTA COMERCIAL DO ESTADO DO RIO DE JANE</t>
  </si>
  <si>
    <t>EXPERTISE CONTADORES-SERV DE CONTAB LTDA</t>
  </si>
  <si>
    <t>COMPANHIA PERNAMBUCANA DE SANEAMENTO</t>
  </si>
  <si>
    <t>TRIAGIL LTDA</t>
  </si>
  <si>
    <t>RILDO CEZAR MENDES PORDEUS ME</t>
  </si>
  <si>
    <t>GOLDEN DISTRIBUIDORA LTDA.</t>
  </si>
  <si>
    <t>BRADESCO SAUDE S/A</t>
  </si>
  <si>
    <t>GLAUCO MAXIMIANO DE CAMPOS</t>
  </si>
  <si>
    <t>ART COR PROGRAMACAO VISUAL LTDA</t>
  </si>
  <si>
    <t>TRANSPORTADORA AMERICAN LTDA</t>
  </si>
  <si>
    <t>GE SERVICO DE TECNOLOGIA INFORMACAO LTDA</t>
  </si>
  <si>
    <t>AGENCIA NACIONAL DE TELECOMUNICACOES</t>
  </si>
  <si>
    <t>TRANSPORTE RODOVIARIO NORDESTINO LTDA</t>
  </si>
  <si>
    <t>ANDRE ESTEVAM N SANTOS</t>
  </si>
  <si>
    <t>TRANSPETROL LTDA</t>
  </si>
  <si>
    <t>BANCO BRADESCO SA</t>
  </si>
  <si>
    <t>EXATA CARGO-LOGISTICA E TRANSPORTES LTDA</t>
  </si>
  <si>
    <t>PALACIO DA CONSTRUCAO LTDA</t>
  </si>
  <si>
    <t>GRSI-GER DE RESIDUOS SOLIDOS E IND LTDA</t>
  </si>
  <si>
    <t>INST BRAS DO MEIO AMB E REC NAT RENOVAVE</t>
  </si>
  <si>
    <t>COMPANHIA HIDROELETRICA SAO FRANCISCO</t>
  </si>
  <si>
    <t>NORTEL CAMPINAS MATRIZ</t>
  </si>
  <si>
    <t>SERASA S.A</t>
  </si>
  <si>
    <t>QUANTA GERACAO DE ENERGIA</t>
  </si>
  <si>
    <t>COMPEX LTDA</t>
  </si>
  <si>
    <t>KALUNGA COM E INDISTRIA GRAF LTDA</t>
  </si>
  <si>
    <t>ALEXANDRE DA SILVA</t>
  </si>
  <si>
    <t>CENOFISCO EDIT PUBLIC TRIB LTDA</t>
  </si>
  <si>
    <t>NORDESTE REFRIGERACAO LTDA ME</t>
  </si>
  <si>
    <t>INOVE SOLUCOES COMERCIO E SERVICOS DE EQ</t>
  </si>
  <si>
    <t>SISTEMAQ AUTOMACAO LTDA</t>
  </si>
  <si>
    <t>BRASIL OPERADORA DE VIAGENS E TURISMO LT</t>
  </si>
  <si>
    <t>CASA DO LABORATORIO LTDA</t>
  </si>
  <si>
    <t>PRISMA SOLUCOES AMBIENTAIS LTDA</t>
  </si>
  <si>
    <t>INGRAM MICRO</t>
  </si>
  <si>
    <t>ESY WORLD SISTEMAS E INFORM LTDA</t>
  </si>
  <si>
    <t>VS DATA COMERCIAL DE INFORM LTDA</t>
  </si>
  <si>
    <t>TERMACO TERM MAR DE CONTA E SERV LTDA</t>
  </si>
  <si>
    <t>VACON AMERICA LATINA LTDA</t>
  </si>
  <si>
    <t>ITAU SEGUROS SA</t>
  </si>
  <si>
    <t>JULIANA DAL SOGLIO COELHO GUSMAO</t>
  </si>
  <si>
    <t>JOSE DE LEMOS VASCONCELOS E CIA LTDA</t>
  </si>
  <si>
    <t>MARIA DE LOURDES PAZ DA SILVA  IPOJ ME</t>
  </si>
  <si>
    <t>AG TRANSP E COM EIRELI ME</t>
  </si>
  <si>
    <t>TCL CONSULTORES ASSOCIADOS SS LTDA</t>
  </si>
  <si>
    <t>VICTOR PUERTAS MATOS</t>
  </si>
  <si>
    <t>PONTE SUL INFORMATICA LTDA</t>
  </si>
  <si>
    <t>TENAX ACO E FERRO LTDA</t>
  </si>
  <si>
    <t>LOCAPE EQUIPAMENTOS LTDA</t>
  </si>
  <si>
    <t>PACIFIC MARINE LTDA EPP</t>
  </si>
  <si>
    <t>LIMPADORA DE FOSSAS GUARARAPES LTDA</t>
  </si>
  <si>
    <t>WC LOCACAO E SERVICOS</t>
  </si>
  <si>
    <t>AGUALINDA PISCINAS E EQUIPAMENTOS LTDA</t>
  </si>
  <si>
    <t>211013</t>
  </si>
  <si>
    <t>LUIZ EDUARDO MACEDO RODRIGUES FILHO</t>
  </si>
  <si>
    <t>(-) COMPRAS PARA ENTREGA FUTURA</t>
  </si>
  <si>
    <t>DIMEP-DIMAS DE MELO PIMENTA LTDA</t>
  </si>
  <si>
    <t>SIND DAS EMP TRANSP DE PAS EST PE-VEM</t>
  </si>
  <si>
    <t>AURUS COMERCIAL E DISTRIBUIDORA LTDA</t>
  </si>
  <si>
    <t>PERNAMBUCO DIST ATACADISTA -EPI</t>
  </si>
  <si>
    <t>RESSEG DISTRIBUIDORA LTDA</t>
  </si>
  <si>
    <t>STOP FIRE IND COM E SERV EXTINT INC LTDA</t>
  </si>
  <si>
    <t>JOSE ERALDO CARNEIRO DOS SANTOS - EPP</t>
  </si>
  <si>
    <t>FERIMPORT COM REPRES E IMPORTACAO LTDA</t>
  </si>
  <si>
    <t>ROTA GERENCIAMENTO DE RISCOS</t>
  </si>
  <si>
    <t>JOSE ALBERTO DE L S ME</t>
  </si>
  <si>
    <t>CENTRALTEC CLIMATIZACAO LTDA</t>
  </si>
  <si>
    <t>ASSOC BRAS IND ENERG ELETRICA</t>
  </si>
  <si>
    <t>GUERRA SERVICOS AUTOMOTIVOS LTDA</t>
  </si>
  <si>
    <t>CREDIMOVEIS NOVOLAR LTDA</t>
  </si>
  <si>
    <t>PIRAJU LOCACAO DE EQUIP E CONSTR LTDA</t>
  </si>
  <si>
    <t>AMPLA.NET INFORMATICA LTDA - ME</t>
  </si>
  <si>
    <t>ELETRO FLASH LTDA</t>
  </si>
  <si>
    <t>SUPERLIMP COM DE PROD DE LIMPEZA LTDA</t>
  </si>
  <si>
    <t>GEA WESTFALIA SEPARATOR DO BRASIL</t>
  </si>
  <si>
    <t>AEROGLASS BRASILEIRA SA FIBRAS DE VIDRO</t>
  </si>
  <si>
    <t>LIVRARIA CULTURA S/A</t>
  </si>
  <si>
    <t>GRANVILLE NORDESTE EQUIP DE SEGURANCA LT</t>
  </si>
  <si>
    <t>GERDAU ACOS LONGOS S.A.</t>
  </si>
  <si>
    <t>DISTRIBUIDORA AUTOMOTIVA S.A .</t>
  </si>
  <si>
    <t>EKIPE TEC EM SEGURANCA E INCENDIO LTDA</t>
  </si>
  <si>
    <t>AERORAFA TRANSPORTES LTDA  ME</t>
  </si>
  <si>
    <t>ARM CONS EM SEGURANCA LTDA</t>
  </si>
  <si>
    <t>CC</t>
  </si>
  <si>
    <t>RBS TUBOS, CONEXOES E FERRAGENS EM GERAL</t>
  </si>
  <si>
    <t>M A XIMENES-ME</t>
  </si>
  <si>
    <t>BB</t>
  </si>
  <si>
    <t>BNB – NCI</t>
  </si>
  <si>
    <t>Encargos</t>
  </si>
  <si>
    <t>CONDOMINIO DO EDIFICIO RODOLPHO DE PAOLI</t>
  </si>
  <si>
    <t>BNB – FAT</t>
  </si>
  <si>
    <t>NORTEL SUPRIMENTOS INDUSTRIAIS LTDA</t>
  </si>
  <si>
    <t>BNB – FNE</t>
  </si>
  <si>
    <t>ASS INST TECNOLOGIA DE PERNAMBUCO-ITEP</t>
  </si>
  <si>
    <t>BNB - Ponte 2</t>
  </si>
  <si>
    <t>FAG CAVALCANTI EPP</t>
  </si>
  <si>
    <t>Itau</t>
  </si>
  <si>
    <t>ARTINTURA LTDA ME</t>
  </si>
  <si>
    <t>REASON TECNOLOGIA S.A.</t>
  </si>
  <si>
    <t>DD</t>
  </si>
  <si>
    <t>ISS</t>
  </si>
  <si>
    <t>CHUBB DO BRASIL COMPANHIA DE SEGUROS</t>
  </si>
  <si>
    <t>Imposto de Renda – IR</t>
  </si>
  <si>
    <t>BRF S.A</t>
  </si>
  <si>
    <t>EUROPA SHOP COM. ART ELET. ACESS. CE LTD</t>
  </si>
  <si>
    <t>DEC 11 HARDWARE INFORMATICA LTDA</t>
  </si>
  <si>
    <t>RLH PNEUS LTDA</t>
  </si>
  <si>
    <t>WARTSILA SWITZERLAND</t>
  </si>
  <si>
    <t>FOLHA DE PAGAMENTO LIQUID</t>
  </si>
  <si>
    <t>Obrigações estimadas</t>
  </si>
  <si>
    <t>INSS</t>
  </si>
  <si>
    <t>13º SALARIO</t>
  </si>
  <si>
    <t>CONTRATO BNB 44.2010.6390</t>
  </si>
  <si>
    <t>Empréstimos, financiamentos e encargos</t>
  </si>
  <si>
    <t>PIS</t>
  </si>
  <si>
    <t>CONTRATO BNB FAT PROINFA</t>
  </si>
  <si>
    <t>COFINS</t>
  </si>
  <si>
    <t>CONTRATO FNE - JUROS</t>
  </si>
  <si>
    <t>CONTRATO BNB PONTE 2</t>
  </si>
  <si>
    <t>CONTRATO EMPREST UTAU</t>
  </si>
  <si>
    <t>ENCARGOS EMPRESTIMO ITAU C/C 02444-4</t>
  </si>
  <si>
    <t>Tributos e contribuições sociais</t>
  </si>
  <si>
    <t>Principal</t>
  </si>
  <si>
    <t>IRRF- 0561</t>
  </si>
  <si>
    <t>IRRF - 0588</t>
  </si>
  <si>
    <t>IRRF - 1708</t>
  </si>
  <si>
    <t>IRRF - 3280</t>
  </si>
  <si>
    <t>ICMS A PAGAR</t>
  </si>
  <si>
    <t>IRRF - 3562</t>
  </si>
  <si>
    <t>EE</t>
  </si>
  <si>
    <t>IRRF - 5706</t>
  </si>
  <si>
    <t>FGTS A PAGAR</t>
  </si>
  <si>
    <t>INSS A PAGAR</t>
  </si>
  <si>
    <t>INSS RETIDO NA FONTE PJ</t>
  </si>
  <si>
    <t>PIS A PAGAR</t>
  </si>
  <si>
    <t>COFINS A PAGAR</t>
  </si>
  <si>
    <t>CONTRIBUICAO SOCIAL</t>
  </si>
  <si>
    <t>CONTRIBUICAO SINDICAL</t>
  </si>
  <si>
    <t>PIS/COFINS/CSLL A RECOLHE</t>
  </si>
  <si>
    <t>IMPOSTO DE RENDA</t>
  </si>
  <si>
    <t>EE_1</t>
  </si>
  <si>
    <t>SAVANA SPE INCORP LTDA</t>
  </si>
  <si>
    <t>PETROLEO BRASILEIRO SA</t>
  </si>
  <si>
    <t>DD_1</t>
  </si>
  <si>
    <t>PRINCIPAL BNB CT 44.2010.</t>
  </si>
  <si>
    <t>PRINCIPAL FINANC.BNB</t>
  </si>
  <si>
    <t>PRINCIPAL FINANC.FNE</t>
  </si>
  <si>
    <t xml:space="preserve"> PRINCIPAL FINANC. BNB FAT</t>
  </si>
  <si>
    <t>BB_1</t>
  </si>
  <si>
    <t>PRINCIPAL EMPREST ITAU</t>
  </si>
  <si>
    <t>EMPRESTIMO BANCO ITAU C/C 02444-4</t>
  </si>
  <si>
    <t>DIRETORES- CONSELHEIROS E</t>
  </si>
  <si>
    <t>JJ_2</t>
  </si>
  <si>
    <t>Outras contas a pagar</t>
  </si>
  <si>
    <t>DIRETORES, CONSELHEIROS E ACIONISTAS</t>
  </si>
  <si>
    <t>CREDITOS DIVERSOS</t>
  </si>
  <si>
    <t>ANULACAO DE VENDA DE ENERGIA</t>
  </si>
  <si>
    <t>EE_2</t>
  </si>
  <si>
    <t>PIS DIFERIDO S/RECEITA</t>
  </si>
  <si>
    <t xml:space="preserve"> COFINS DIFERIDO S/RECEITA</t>
  </si>
  <si>
    <t>PROVISAO DE FERIAS</t>
  </si>
  <si>
    <t>NN</t>
  </si>
  <si>
    <t>PROVISAO ENCARGOS DE FERI</t>
  </si>
  <si>
    <t>PROVISAO DE 13 SALARIO</t>
  </si>
  <si>
    <t>PROVISAO ENCARGOS 13 SALA</t>
  </si>
  <si>
    <t>F.N.D.C.T.</t>
  </si>
  <si>
    <t>Provisões de P&amp;D</t>
  </si>
  <si>
    <t>FNDCT</t>
  </si>
  <si>
    <t>248010</t>
  </si>
  <si>
    <t>M.M.E.</t>
  </si>
  <si>
    <t>MME</t>
  </si>
  <si>
    <t>NN_2</t>
  </si>
  <si>
    <t>PESQUISA E DESENVOLVIMENTO</t>
  </si>
  <si>
    <t>Receita líquida de vendas</t>
  </si>
  <si>
    <t>Receitas com contratos de energia</t>
  </si>
  <si>
    <t>Passivo fiscal diferido LP</t>
  </si>
  <si>
    <t>CSLL DIFERIDO S/DIFERENCA</t>
  </si>
  <si>
    <t>PRINCIPAL FINANC.BNB FAT</t>
  </si>
  <si>
    <t>10_2</t>
  </si>
  <si>
    <t>Empréstimos, financiamentos e encargos LP</t>
  </si>
  <si>
    <t>PIS e COFINS</t>
  </si>
  <si>
    <t>10_1</t>
  </si>
  <si>
    <t>3222  MUTUO PETROBRAS</t>
  </si>
  <si>
    <t>Coligadas e controladas LP</t>
  </si>
  <si>
    <t>NOVA CIBE ENERGIA S0A</t>
  </si>
  <si>
    <t>P.E D.</t>
  </si>
  <si>
    <t>Provisões de P&amp;D LP</t>
  </si>
  <si>
    <t>PESQUISA &amp; DESENVOLVIMENTO</t>
  </si>
  <si>
    <t>TAXA DE FISCALIZACAO ANEEL - TFSEE</t>
  </si>
  <si>
    <t>Informações sobre a Natureza das despesas reconhecidas na demonstração do resultado</t>
  </si>
  <si>
    <t>Outras receitas operacionais</t>
  </si>
  <si>
    <t>Capital social</t>
  </si>
  <si>
    <t>Gastos com pessoal</t>
  </si>
  <si>
    <t>NOVA CIBE ENERGIA</t>
  </si>
  <si>
    <t>ADIANTAMENTO PARA FUTURO</t>
  </si>
  <si>
    <t>RESERVA LEGAL</t>
  </si>
  <si>
    <t>Reserva legal</t>
  </si>
  <si>
    <t>AJUSTES DE EXERCICIOS ANTERIORES</t>
  </si>
  <si>
    <t>LUCROS ACUMULADOS</t>
  </si>
  <si>
    <t>RESERVA DE RETENCAO DE LUCROS</t>
  </si>
  <si>
    <t>(-) PREJUIZOS ACUMULADOS</t>
  </si>
  <si>
    <t xml:space="preserve"> SUPRIMENTO</t>
  </si>
  <si>
    <t>RECEITA FIXA A FATURAR</t>
  </si>
  <si>
    <t>RECEITA FIXA FATURADA</t>
  </si>
  <si>
    <t>RECEITA VARIAVEL A FATURAR</t>
  </si>
  <si>
    <t>RECEITA VARIAVEL FATURADA</t>
  </si>
  <si>
    <t>( - ) ANULACAO DE VENDA DE ENERGIA</t>
  </si>
  <si>
    <t xml:space="preserve">(-) Impostos </t>
  </si>
  <si>
    <t>Gastos com materiais</t>
  </si>
  <si>
    <t xml:space="preserve">  PIS S/RECEITA DE VENDA</t>
  </si>
  <si>
    <t>COFINS S/RECEITA DE VENDA</t>
  </si>
  <si>
    <t>PIS SOBRE RECEITA DIFERIDA</t>
  </si>
  <si>
    <t>COFINS SOBRE RECEITA DIFERIDA</t>
  </si>
  <si>
    <t>PESQUISA E DESENVOLVIMENT</t>
  </si>
  <si>
    <t>PESQ E DESENVOLVIMENTO - MME E FNDCT</t>
  </si>
  <si>
    <t>Combustíveis e lubrificantes</t>
  </si>
  <si>
    <t>PESQ E DESENVOLVIMENTO - INSTITUICOES</t>
  </si>
  <si>
    <t>Serviços prestados de terceiros</t>
  </si>
  <si>
    <t>OUTRAS RECEITAS OPERACION</t>
  </si>
  <si>
    <t>Outras receitas (despesas) operacionais</t>
  </si>
  <si>
    <t>PESSOAL - REMUNERACAO</t>
  </si>
  <si>
    <t>(-) Custo dos produtos vendidos</t>
  </si>
  <si>
    <t>3049PESSOAL-PLANODESAUDE</t>
  </si>
  <si>
    <t>3050PESSOAL-RESCISOES</t>
  </si>
  <si>
    <t>PESSOAL - VALE REFEICAO</t>
  </si>
  <si>
    <t>3052PESSOAL-VALETRANSPORTE</t>
  </si>
  <si>
    <t>PESSOAL - INSS S/FOLHA</t>
  </si>
  <si>
    <t>PESSOAL - FGTS S/ FOLHA</t>
  </si>
  <si>
    <t>PESSOAL - PROVISAO DE FER</t>
  </si>
  <si>
    <t>3056PESSOAL-FORMEDESENVOL</t>
  </si>
  <si>
    <t>PESSOAL - SEGURANCA HIGIENE MEDICINA DO</t>
  </si>
  <si>
    <t>3058PESSOAL-SEGUROVIDAEMP</t>
  </si>
  <si>
    <t>PESSOAL - INSS S/PROVISOE</t>
  </si>
  <si>
    <t>Depreciação e amortização</t>
  </si>
  <si>
    <t>PESSOAL - FGTS S/PROVISOE</t>
  </si>
  <si>
    <t>CESTAS NATALINAS</t>
  </si>
  <si>
    <t>Seguros</t>
  </si>
  <si>
    <t>3065ADMINISTRADORES-HONORAR</t>
  </si>
  <si>
    <t>Impostos, taxas e contribuições</t>
  </si>
  <si>
    <t>3067ADMINISTRADORES-BENEFIC</t>
  </si>
  <si>
    <t>3068ADMINISTRADORES-INSSS/</t>
  </si>
  <si>
    <t>MATERIAL - MATERIAL  ADMI</t>
  </si>
  <si>
    <t>Encargos de uso da rede</t>
  </si>
  <si>
    <t>MATERIAL - COMBUSTIVEL E LUBRIFICANTES</t>
  </si>
  <si>
    <t>Aquisição de energia elétrica</t>
  </si>
  <si>
    <t>3072MATERIAL-PNEU/PECASEA</t>
  </si>
  <si>
    <t>615011</t>
  </si>
  <si>
    <t>MATERIAL - MATERIAL DE SE</t>
  </si>
  <si>
    <t>MATERIAL - MANUTENCAO DE</t>
  </si>
  <si>
    <t>MATERIAL-MATERIAL DE CONSUMO</t>
  </si>
  <si>
    <t>COMBUSTIVEL E LUBRIFICANTE PARA GERACAO</t>
  </si>
  <si>
    <t>3076SERVTERCEIROS-MANUTENC</t>
  </si>
  <si>
    <t>SERV TERCEIROS -CONSULT, AUDIT, ASSES PJ</t>
  </si>
  <si>
    <t>SERV TERCEIROS - MANUTENCAO/CONSERVACAO</t>
  </si>
  <si>
    <t>SERV TERCEIROS - TELEFONE</t>
  </si>
  <si>
    <t>SERV TERCEIROS - PUBLICAC</t>
  </si>
  <si>
    <t>3083SERVTERCEIROS-PESSOAF</t>
  </si>
  <si>
    <t>3084SERVTERCEIROS-PESSOAJ</t>
  </si>
  <si>
    <t>SERV TERCEIROS - FRETE/TRANSPORTE CARGA</t>
  </si>
  <si>
    <t>SERV TERCEIROS - ENSINO E TREINAMENTO</t>
  </si>
  <si>
    <t>SERV TERCEIROS - AGUA E E</t>
  </si>
  <si>
    <t>SERV TERCEIROS -TRANSPORTE PESSOAL</t>
  </si>
  <si>
    <t>SERV TERCEIROS - PASSAGEM</t>
  </si>
  <si>
    <t>SERV TERCEIROS - OPERAÇAO</t>
  </si>
  <si>
    <t>DEPRECIACAO IMOBILIZADO</t>
  </si>
  <si>
    <t>ARREND E ALUGUEIS - ALUGU</t>
  </si>
  <si>
    <t>SEGUROS - PREMIO DE SEGUROS</t>
  </si>
  <si>
    <t>TRIBUTOS - TAXAS DIVERSAS</t>
  </si>
  <si>
    <t>(-) RECUPERACAO DE DESPES</t>
  </si>
  <si>
    <t>LUBRIFICANTES - GERACAO D</t>
  </si>
  <si>
    <t>ENERGIA ELETRICA COMPRADA</t>
  </si>
  <si>
    <t>ENCARGOS DE USO DA REDE</t>
  </si>
  <si>
    <t>SERV TERCEIROS - MALOTE/FRANQUIA POSTAL</t>
  </si>
  <si>
    <t>SERV TERCEIROS - HOSPEDAGEM</t>
  </si>
  <si>
    <t>SERV TERCEIROS - REMOCAO DE RESIDUOS</t>
  </si>
  <si>
    <t>SERV TERCEIROS-DESPESAS GRAFICAS</t>
  </si>
  <si>
    <t>AMORTIZACAO INTANGIVEL</t>
  </si>
  <si>
    <t>OUTROS - DESPESAS ALIMENTACAO</t>
  </si>
  <si>
    <t>OUTROS - CONSUMO PROPRIO ENERGIA</t>
  </si>
  <si>
    <t>OUTROS - OUTRAS DESPESAS</t>
  </si>
  <si>
    <t>PESSOAL - PART RESULTADOS LEI 10101/00</t>
  </si>
  <si>
    <t>PESSOAL -REMUNERACAO</t>
  </si>
  <si>
    <t>Gerais e administrativas</t>
  </si>
  <si>
    <t>PESSOAL -HORAS EXTRAS</t>
  </si>
  <si>
    <t>PESSOAL -PLANO DE SAUDE -</t>
  </si>
  <si>
    <t>PESSOAL -RECISOES</t>
  </si>
  <si>
    <t>PESSOAL -VALE REFEICAO</t>
  </si>
  <si>
    <t>PESSOAL -VALE TRANSPORTES</t>
  </si>
  <si>
    <t>PESSOAL -INSS S/FOLHA</t>
  </si>
  <si>
    <t>PESSOAL -FGTS S/FOLHA</t>
  </si>
  <si>
    <t>PESSOAL -PROVISAO DE FERI</t>
  </si>
  <si>
    <t>PESSOAL -FORM E DESENVOLV</t>
  </si>
  <si>
    <t>PESSOAL -SEGURANCA HIGIEN</t>
  </si>
  <si>
    <t>PESSOAL -SEGURO VIDA EMPR</t>
  </si>
  <si>
    <t>PESSOAL -OUTROS BENEFICIO</t>
  </si>
  <si>
    <t>PESSOAL -INSS S/PROVISOES</t>
  </si>
  <si>
    <t>PESSOAL -FGTS S/PROVISOES</t>
  </si>
  <si>
    <t>PESSOAL - ADIC NOTURNO</t>
  </si>
  <si>
    <t>ADMINISTRADORES - HONORAR</t>
  </si>
  <si>
    <t>ADMINISTRADORES - BENEFIC</t>
  </si>
  <si>
    <t>ADMINISTRADORES - INSS</t>
  </si>
  <si>
    <t>MATERIAL - MATERIAL ADMIN</t>
  </si>
  <si>
    <t>MATERIAL - COMBUSTIVEL E</t>
  </si>
  <si>
    <t>MATERIAL - PNEU/PECAS E A</t>
  </si>
  <si>
    <t>MATERIAL-MANUTENCAO ESCRI</t>
  </si>
  <si>
    <t>SERV TERCEIROS -MANUTENCÄ</t>
  </si>
  <si>
    <t>SERV TERCEIROS -CONSULT-</t>
  </si>
  <si>
    <t>SERV TERCEIROS - MANUTENC</t>
  </si>
  <si>
    <t>SERV TERCEIROS - MALOTE/F</t>
  </si>
  <si>
    <t>SERV TERCEIROS - PESSOA F</t>
  </si>
  <si>
    <t>SERV TERCEIROS - PESSOA J</t>
  </si>
  <si>
    <t>SERV TERCEIROS - FRETE/TR</t>
  </si>
  <si>
    <t>SERV TERCEIROS - ENSINO E</t>
  </si>
  <si>
    <t>SERV TERCEIROS - AGUA E ESGOTO</t>
  </si>
  <si>
    <t>SERV TERCEIROS -TRANSPORT</t>
  </si>
  <si>
    <t>SERV TERCEIROS - HOSPEDAG</t>
  </si>
  <si>
    <t>SEERV TERCEIROS-INTERNET</t>
  </si>
  <si>
    <t>Rendimento de aplicação financeira</t>
  </si>
  <si>
    <t>SERV TERCEIROS-DESPESAS G</t>
  </si>
  <si>
    <t>74_1</t>
  </si>
  <si>
    <t>Variação cambial líquida</t>
  </si>
  <si>
    <t>SERV TERCEIROS-DESPESAS C</t>
  </si>
  <si>
    <t>Descontos e juros obtidos</t>
  </si>
  <si>
    <t>SERV TERCEIROS - PROC SEL</t>
  </si>
  <si>
    <t>Outras receitas financeiras</t>
  </si>
  <si>
    <t>AMORTIZACAO DIFERIDO</t>
  </si>
  <si>
    <t>Juros sobre financiamento</t>
  </si>
  <si>
    <t>Juros sobre mútuo</t>
  </si>
  <si>
    <t>SEGUROS - PREMIO DE SEGUR</t>
  </si>
  <si>
    <t>Despesa bancária e outras despesas financeiras</t>
  </si>
  <si>
    <t>TRIBUTOS -CONTRIBUICAO SI</t>
  </si>
  <si>
    <t>TRIBUTOS -IOF</t>
  </si>
  <si>
    <t>TRIBUTOS - ICMS</t>
  </si>
  <si>
    <t>DOACOES- CONTRIB E SUBV-</t>
  </si>
  <si>
    <t>OUTROS - PROPAGANDA E PUB</t>
  </si>
  <si>
    <t>70_1</t>
  </si>
  <si>
    <t>OUTROS - EVENTO (BUFFET/R</t>
  </si>
  <si>
    <t>OUTROS - VIAGEM PESSOAL P</t>
  </si>
  <si>
    <t>OUTROS - DESPESAS ALIMENT</t>
  </si>
  <si>
    <t>80_1</t>
  </si>
  <si>
    <t>OUTROS - CONSUMO PROPRIO</t>
  </si>
  <si>
    <t>OUTROS - JORNAL/REVISTA/I</t>
  </si>
  <si>
    <t>OUTROS -ESTAGIARIO/BOLSIS</t>
  </si>
  <si>
    <t>80_2</t>
  </si>
  <si>
    <t>OUTROS-COPA E COZINHA</t>
  </si>
  <si>
    <t>OUTROS - LIVROS/MANUAIS</t>
  </si>
  <si>
    <t>OUTROS - MULTAS DE TRANSITO</t>
  </si>
  <si>
    <t>PESSOAL -PART RESULTADOS - LEI 10101/00</t>
  </si>
  <si>
    <t>RENDIMENTO DE APLICAÇAO F</t>
  </si>
  <si>
    <t>Receitas financeiras</t>
  </si>
  <si>
    <t>VARIAÇAO CAMBIAL ATIVA</t>
  </si>
  <si>
    <t>DESCONTOS FINANCEIROS OBT</t>
  </si>
  <si>
    <t>JUROS OBTIDOS</t>
  </si>
  <si>
    <t>OUTRAS RECEITAS FINANCEIRAS</t>
  </si>
  <si>
    <t>GARANTIA FINANCEIRA CCEE</t>
  </si>
  <si>
    <t>Despesas financeiras</t>
  </si>
  <si>
    <t>MULTAS FISCAIS</t>
  </si>
  <si>
    <t>JUROS S/FINANCIAMENTO</t>
  </si>
  <si>
    <t>JUROS S/ MUTUO</t>
  </si>
  <si>
    <t>VARIACAO CAMBIAL PASSIVA</t>
  </si>
  <si>
    <t>JUROS PASSIVOS</t>
  </si>
  <si>
    <t>DESPESAS BANCARIAS</t>
  </si>
  <si>
    <t>OUTRAS DESPESAS FINANCEIR</t>
  </si>
  <si>
    <t>IOF</t>
  </si>
  <si>
    <t>JUROS SOBRE CAPITAL PROPRIO</t>
  </si>
  <si>
    <t>ATUALIZACAO MONETARIA</t>
  </si>
  <si>
    <t>VENDA DE LUBRIFICANTE USADO</t>
  </si>
  <si>
    <t>BENS RECEBIDOS EM DOACAO</t>
  </si>
  <si>
    <t>PIS SOBRE FATURAMENTO</t>
  </si>
  <si>
    <t>COFINS SOBRE FATURAMENTO</t>
  </si>
  <si>
    <t>ICMS SOBRE FATURAMENTO</t>
  </si>
  <si>
    <t>BAIXA DE BENS DO ATIVO IMOBILIZADO</t>
  </si>
  <si>
    <t>(-) CONTRIBUICAO SOCIAL</t>
  </si>
  <si>
    <t>(-) Contribuição Social</t>
  </si>
  <si>
    <t>(-) CONTRIBUICAO SOCIAL DIFERIDA</t>
  </si>
  <si>
    <t>(-) IR/CS diferidos</t>
  </si>
  <si>
    <t>(-) IMPOSTO DE RENDA</t>
  </si>
  <si>
    <t>(-) Imposto de Renda</t>
  </si>
  <si>
    <t>(-) IMPOSTO DE RENDA DIFERIDO</t>
  </si>
  <si>
    <t>REDUCAO DE 75% DO IRPJ</t>
  </si>
  <si>
    <t>REVERSAO DOS JUROS SOBRE CAPITAL PROPRIO</t>
  </si>
  <si>
    <t>Movimentação</t>
  </si>
  <si>
    <t>Moviment.</t>
  </si>
  <si>
    <t>Provisão</t>
  </si>
  <si>
    <t xml:space="preserve">Rendimento </t>
  </si>
  <si>
    <t>Juros</t>
  </si>
  <si>
    <t>Variação</t>
  </si>
  <si>
    <t>Depreciação /</t>
  </si>
  <si>
    <t xml:space="preserve">Dividendos </t>
  </si>
  <si>
    <t>Adição</t>
  </si>
  <si>
    <t>Baixa</t>
  </si>
  <si>
    <t>Captação</t>
  </si>
  <si>
    <t>Equiv</t>
  </si>
  <si>
    <t>Transferência</t>
  </si>
  <si>
    <t>Baixa p/</t>
  </si>
  <si>
    <t>AAP</t>
  </si>
  <si>
    <t>Retenção</t>
  </si>
  <si>
    <t>Ganho/perda</t>
  </si>
  <si>
    <t>R$ mil</t>
  </si>
  <si>
    <t>Validação</t>
  </si>
  <si>
    <t>líquida</t>
  </si>
  <si>
    <t>non-cash</t>
  </si>
  <si>
    <t>juros</t>
  </si>
  <si>
    <t>aplicações</t>
  </si>
  <si>
    <t>Pagos</t>
  </si>
  <si>
    <t>Cambial</t>
  </si>
  <si>
    <t>amortização</t>
  </si>
  <si>
    <t>propostos</t>
  </si>
  <si>
    <t>ingresso</t>
  </si>
  <si>
    <t>pares relacionadas</t>
  </si>
  <si>
    <t>patrim</t>
  </si>
  <si>
    <t>venda</t>
  </si>
  <si>
    <t>C. atribuído</t>
  </si>
  <si>
    <t>Tributos</t>
  </si>
  <si>
    <t>Res. Lucro</t>
  </si>
  <si>
    <t>baixa</t>
  </si>
  <si>
    <t>exercício</t>
  </si>
  <si>
    <t>ATIVO</t>
  </si>
  <si>
    <t>Sem ef. caixa</t>
  </si>
  <si>
    <t>CIRCULANTE</t>
  </si>
  <si>
    <t>NÃO CIRCULANTE</t>
  </si>
  <si>
    <t>TOTAL DO ATIVO</t>
  </si>
  <si>
    <t>PASSIVO E PATRIMÔNIO LÍQUIDO</t>
  </si>
  <si>
    <t>PATRIMÔNIO LÍQUIDO</t>
  </si>
  <si>
    <t>TOTAL DO PASSIVO E PATRIMÔNIO LÍQUIDO</t>
  </si>
  <si>
    <t>Montagem dos quadros das Notas Explicativas</t>
  </si>
  <si>
    <t>Agrupar as análises para o relatório.</t>
  </si>
  <si>
    <t>Var. Abs.</t>
  </si>
  <si>
    <t>A.H.</t>
  </si>
  <si>
    <t>A.V.</t>
  </si>
  <si>
    <t>Aplicações financeiras:</t>
  </si>
  <si>
    <t>Instituição financeira</t>
  </si>
  <si>
    <t>Vencimento</t>
  </si>
  <si>
    <t>Indexador</t>
  </si>
  <si>
    <r>
      <rPr>
        <sz val="11"/>
        <color rgb="FF000000"/>
        <rFont val="Trebuchet MS"/>
        <family val="2"/>
        <charset val="1"/>
      </rPr>
      <t xml:space="preserve">FAT- Proinfra </t>
    </r>
    <r>
      <rPr>
        <b/>
        <sz val="11"/>
        <color rgb="FF000000"/>
        <rFont val="Trebuchet MS"/>
        <family val="2"/>
        <charset val="1"/>
      </rPr>
      <t>(a)</t>
    </r>
  </si>
  <si>
    <t xml:space="preserve">Banco do Nordeste do Brasil </t>
  </si>
  <si>
    <t xml:space="preserve">98 % CDI </t>
  </si>
  <si>
    <r>
      <rPr>
        <sz val="11"/>
        <color rgb="FF000000"/>
        <rFont val="Trebuchet MS"/>
        <family val="2"/>
        <charset val="1"/>
      </rPr>
      <t xml:space="preserve">Garantia (FI) FNE </t>
    </r>
    <r>
      <rPr>
        <b/>
        <sz val="11"/>
        <color rgb="FF000000"/>
        <rFont val="Trebuchet MS"/>
        <family val="2"/>
        <charset val="1"/>
      </rPr>
      <t>(b)</t>
    </r>
  </si>
  <si>
    <t>Banco do Nordeste do Brasil</t>
  </si>
  <si>
    <t>0,6377 % a.m</t>
  </si>
  <si>
    <r>
      <rPr>
        <sz val="11"/>
        <color rgb="FF000000"/>
        <rFont val="Trebuchet MS"/>
        <family val="2"/>
        <charset val="1"/>
      </rPr>
      <t xml:space="preserve">Garantia (FI) FAT </t>
    </r>
    <r>
      <rPr>
        <b/>
        <sz val="11"/>
        <color rgb="FF000000"/>
        <rFont val="Trebuchet MS"/>
        <family val="2"/>
        <charset val="1"/>
      </rPr>
      <t>(b)</t>
    </r>
    <r>
      <rPr>
        <sz val="11"/>
        <color rgb="FF000000"/>
        <rFont val="Trebuchet MS"/>
        <family val="2"/>
        <charset val="1"/>
      </rPr>
      <t xml:space="preserve"> </t>
    </r>
  </si>
  <si>
    <r>
      <rPr>
        <sz val="11"/>
        <color rgb="FF000000"/>
        <rFont val="Trebuchet MS"/>
        <family val="2"/>
        <charset val="1"/>
      </rPr>
      <t xml:space="preserve">Partes relacionadas </t>
    </r>
    <r>
      <rPr>
        <b/>
        <sz val="11"/>
        <color rgb="FF000000"/>
        <rFont val="Trebuchet MS"/>
        <family val="2"/>
        <charset val="1"/>
      </rPr>
      <t>(c)</t>
    </r>
  </si>
  <si>
    <t xml:space="preserve">Banco do Brasil </t>
  </si>
  <si>
    <t>100,5% CDI</t>
  </si>
  <si>
    <t>Checar</t>
  </si>
  <si>
    <r>
      <rPr>
        <sz val="11"/>
        <color rgb="FF000000"/>
        <rFont val="Trebuchet MS"/>
        <family val="2"/>
        <charset val="1"/>
      </rPr>
      <t xml:space="preserve">Imposto de Renda diferido </t>
    </r>
    <r>
      <rPr>
        <b/>
        <sz val="11"/>
        <color rgb="FF000000"/>
        <rFont val="Trebuchet MS"/>
        <family val="2"/>
        <charset val="1"/>
      </rPr>
      <t>(a)</t>
    </r>
  </si>
  <si>
    <r>
      <rPr>
        <sz val="11"/>
        <color rgb="FF000000"/>
        <rFont val="Trebuchet MS"/>
        <family val="2"/>
        <charset val="1"/>
      </rPr>
      <t xml:space="preserve">Contribuição Social diferida </t>
    </r>
    <r>
      <rPr>
        <b/>
        <sz val="11"/>
        <color rgb="FF000000"/>
        <rFont val="Trebuchet MS"/>
        <family val="2"/>
        <charset val="1"/>
      </rPr>
      <t>(a)</t>
    </r>
  </si>
  <si>
    <t>PASSIVO</t>
  </si>
  <si>
    <t>Objetivo</t>
  </si>
  <si>
    <t>Capital de giro</t>
  </si>
  <si>
    <t>1,0632% a.m</t>
  </si>
  <si>
    <t>Construção UTE</t>
  </si>
  <si>
    <t>14,99% a.a</t>
  </si>
  <si>
    <t>TJLP + 4% a.a</t>
  </si>
  <si>
    <t>10% a.a</t>
  </si>
  <si>
    <t>RESULTADO</t>
  </si>
  <si>
    <t>Receita bruta de vendas</t>
  </si>
  <si>
    <t>Deduções de vendas</t>
  </si>
  <si>
    <t>Receita operacional líquida</t>
  </si>
  <si>
    <t>Classificados como</t>
  </si>
  <si>
    <t>CLIENTE XXX S/A</t>
  </si>
  <si>
    <t>As informações tem que ser alteradas primeiramente na planilha "BP"</t>
  </si>
  <si>
    <t xml:space="preserve">Revisão analítica - Balanços patrimoniais </t>
  </si>
  <si>
    <t>Em 31 de dezembro de 2012 e 2011</t>
  </si>
  <si>
    <t>(Em milhares de Reais)</t>
  </si>
  <si>
    <t>Passivo e patrimônio líquido</t>
  </si>
  <si>
    <t>Ref.</t>
  </si>
  <si>
    <t xml:space="preserve"> </t>
  </si>
  <si>
    <t>Patrimônio líquido</t>
  </si>
  <si>
    <t>Total do ativo</t>
  </si>
  <si>
    <t>Total do passivo e do patrimônio líquido</t>
  </si>
  <si>
    <t>As notas explicativas da Administração são parte integrante das demonstrações contábeis.</t>
  </si>
  <si>
    <t>Explicações:</t>
  </si>
  <si>
    <t>Obs.:</t>
  </si>
  <si>
    <t>Preparado por:</t>
  </si>
  <si>
    <t>Variação ou saldo sem relevância para nossas análises.</t>
  </si>
  <si>
    <t>ACA - 22/08/2013</t>
  </si>
  <si>
    <t>Em janeiro de 2013 a Companhia passou a produzir energia, a qual manteve-se em operação até junho de 2013. Ou seja, além da energia produzida e vendida, a Companhia mantém seu faturamento de aproximadamente 15 milhões por mês de receita fixa (contratual). 
O prazo de recebimetno da Companhia é de 20, 30 e 40 dias após o encerramento do mês, desta forma o saldo em aberto refere-se o saldo do mês provisionado mais a terceira parcela do mês anterior.
Neste caso, em junho de 2013, a segunda parcela do mês anterior também estava em aberta, aumentando ainda mais o saldo.
O normal seria um saldo de 15 milhões de receita fixa do mês corrente, mais 70 milhões de variável (se houver produção), mais a terceira parcela do mês seguinte.</t>
  </si>
  <si>
    <t>Devido o fato mencionado no item B, o estoque refere-se ao combustível em Estoque para produção da energia. Em 31/12/2012 não havia estoque, pois a Usina só começou a operar no final de janeiro de 2013.</t>
  </si>
  <si>
    <t>Como não houveram adições e baixas relevantes, a reduçao deve-se a aplicação da depreciação referente aos meses em análise.</t>
  </si>
  <si>
    <t>I</t>
  </si>
  <si>
    <t>J</t>
  </si>
  <si>
    <t>As informações tem que ser alteradas primeiramente na planilha "DRE"</t>
  </si>
  <si>
    <t>Revisão analítica - Demonstrações dos resultados</t>
  </si>
  <si>
    <t>Exercícios findos em 31 de dezembro de 2012 e 2011</t>
  </si>
  <si>
    <t>(=) Lucro operacional antes do resultado financeiro</t>
  </si>
  <si>
    <t>(=) Lucro antes do Imposto de Renda e Contribuição Social</t>
  </si>
  <si>
    <t>O aumento da receita líquida, deve-se ao fato da empresa ter entrado em operação em janeiro de 2013, produzindo energia até junho, alavancando o faturamento mensal de 15 milhões para 90 milhões. Consequentemente, o custo também teve seu acréscimo, já que para a produção da energia são necessários os gastos com combustíveis, fretes mão de obra etc.</t>
  </si>
  <si>
    <t xml:space="preserve">(+) Vendas lojistas/terceirados -CD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</si>
</sst>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-;\-* #,##0.00_-;_-* \-??_-;_-@_-"/>
    <numFmt numFmtId="165" formatCode="_(* #,##0.00_);_(* \(#,##0.00\);_(* \-??_);_(@_)"/>
    <numFmt numFmtId="166" formatCode="dd\-mmm\-yy_)"/>
    <numFmt numFmtId="167" formatCode="_(* #,##0_);_(* \(#,##0\);_(* \-??_);_(@_)"/>
    <numFmt numFmtId="168" formatCode="0.000%"/>
    <numFmt numFmtId="169" formatCode="_-* #,##0_-;\-* #,##0_-;_-* \-??_-;_-@_-"/>
    <numFmt numFmtId="170" formatCode="d/m/yyyy"/>
    <numFmt numFmtId="171" formatCode="#,##0_);\(#,##0\)"/>
    <numFmt numFmtId="172" formatCode="_(* #,##0.000_);_(* \(#,##0.000\);_(* \-??_);_(@_)"/>
    <numFmt numFmtId="173" formatCode="_(* #,##0_);_(* \(#,##0\);_(* \-_);_(@_)"/>
    <numFmt numFmtId="174" formatCode="dd/mm/yy;@"/>
    <numFmt numFmtId="175" formatCode="dd/mm/yyyy;@"/>
    <numFmt numFmtId="176" formatCode="#,##0;\(#,##0\)"/>
  </numFmts>
  <fonts count="59">
    <font>
      <sz val="11"/>
      <color rgb="FF000000"/>
      <name val="Trebuchet MS"/>
      <family val="2"/>
      <charset val="1"/>
    </font>
    <font>
      <sz val="10"/>
      <name val="Trebuchet MS"/>
      <family val="2"/>
      <charset val="1"/>
    </font>
    <font>
      <b/>
      <sz val="10"/>
      <name val="Trebuchet MS"/>
      <family val="2"/>
      <charset val="1"/>
    </font>
    <font>
      <b/>
      <sz val="18"/>
      <color rgb="FF000000"/>
      <name val="Trebuchet MS"/>
      <family val="2"/>
      <charset val="1"/>
    </font>
    <font>
      <b/>
      <sz val="18"/>
      <color rgb="FF002060"/>
      <name val="Calibri"/>
      <family val="2"/>
      <charset val="1"/>
    </font>
    <font>
      <b/>
      <sz val="18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name val="Calibri"/>
      <family val="2"/>
      <charset val="1"/>
    </font>
    <font>
      <sz val="18"/>
      <name val="Trebuchet MS"/>
      <family val="2"/>
      <charset val="1"/>
    </font>
    <font>
      <b/>
      <sz val="36"/>
      <color rgb="FF000000"/>
      <name val="Trebuchet MS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8"/>
      <name val="Trebuchet MS"/>
      <family val="2"/>
      <charset val="1"/>
    </font>
    <font>
      <b/>
      <sz val="14"/>
      <color rgb="FFFF0000"/>
      <name val="Calibri"/>
      <family val="2"/>
      <charset val="1"/>
    </font>
    <font>
      <b/>
      <sz val="14"/>
      <name val="Calibri"/>
      <family val="2"/>
      <charset val="1"/>
    </font>
    <font>
      <b/>
      <sz val="14"/>
      <name val="Trebuchet MS"/>
      <family val="2"/>
      <charset val="1"/>
    </font>
    <font>
      <b/>
      <sz val="14"/>
      <color rgb="FF002060"/>
      <name val="Calibri"/>
      <family val="2"/>
      <charset val="1"/>
    </font>
    <font>
      <b/>
      <sz val="14"/>
      <color rgb="FF000000"/>
      <name val="Trebuchet MS"/>
      <family val="2"/>
      <charset val="1"/>
    </font>
    <font>
      <sz val="12"/>
      <name val="Calibri"/>
      <family val="2"/>
      <charset val="1"/>
    </font>
    <font>
      <b/>
      <sz val="18"/>
      <color rgb="FF003366"/>
      <name val="Calibri"/>
      <family val="2"/>
      <charset val="1"/>
    </font>
    <font>
      <sz val="10"/>
      <color rgb="FF000000"/>
      <name val="Trebuchet MS"/>
      <family val="2"/>
      <charset val="1"/>
    </font>
    <font>
      <b/>
      <sz val="10"/>
      <name val="Calibri"/>
      <family val="2"/>
      <charset val="1"/>
    </font>
    <font>
      <b/>
      <sz val="9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Trebuchet MS"/>
      <family val="2"/>
      <charset val="1"/>
    </font>
    <font>
      <b/>
      <sz val="10"/>
      <color rgb="FF00206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002060"/>
      <name val="Trebuchet MS"/>
      <family val="2"/>
      <charset val="1"/>
    </font>
    <font>
      <sz val="10"/>
      <color rgb="FF002060"/>
      <name val="Calibri"/>
      <family val="2"/>
      <charset val="1"/>
    </font>
    <font>
      <b/>
      <sz val="10"/>
      <color rgb="FFFF0000"/>
      <name val="Trebuchet MS"/>
      <family val="2"/>
      <charset val="1"/>
    </font>
    <font>
      <sz val="10"/>
      <color rgb="FFFFFFFF"/>
      <name val="Trebuchet MS"/>
      <family val="2"/>
      <charset val="1"/>
    </font>
    <font>
      <sz val="10"/>
      <color rgb="FF008000"/>
      <name val="Calibri"/>
      <family val="2"/>
      <charset val="1"/>
    </font>
    <font>
      <b/>
      <sz val="11"/>
      <color rgb="FF000000"/>
      <name val="Trebuchet MS"/>
      <family val="2"/>
      <charset val="1"/>
    </font>
    <font>
      <sz val="11"/>
      <color rgb="FFBFBFBF"/>
      <name val="Trebuchet MS"/>
      <family val="2"/>
      <charset val="1"/>
    </font>
    <font>
      <u/>
      <sz val="11"/>
      <color rgb="FF000000"/>
      <name val="Trebuchet MS"/>
      <family val="2"/>
      <charset val="1"/>
    </font>
    <font>
      <sz val="11"/>
      <name val="Trebuchet MS"/>
      <family val="2"/>
      <charset val="1"/>
    </font>
    <font>
      <u/>
      <sz val="11"/>
      <name val="Trebuchet MS"/>
      <family val="2"/>
      <charset val="1"/>
    </font>
    <font>
      <i/>
      <sz val="11"/>
      <name val="Trebuchet MS"/>
      <family val="2"/>
      <charset val="1"/>
    </font>
    <font>
      <b/>
      <u/>
      <sz val="11"/>
      <name val="Trebuchet MS"/>
      <family val="2"/>
      <charset val="1"/>
    </font>
    <font>
      <i/>
      <sz val="11"/>
      <color rgb="FFFF0000"/>
      <name val="Trebuchet MS"/>
      <family val="2"/>
      <charset val="1"/>
    </font>
    <font>
      <b/>
      <sz val="11"/>
      <color rgb="FFFF0000"/>
      <name val="Trebuchet MS"/>
      <family val="2"/>
      <charset val="1"/>
    </font>
    <font>
      <b/>
      <sz val="11"/>
      <name val="Trebuchet MS"/>
      <family val="2"/>
      <charset val="1"/>
    </font>
    <font>
      <b/>
      <sz val="11"/>
      <color rgb="FFFFFFFF"/>
      <name val="Trebuchet MS"/>
      <family val="2"/>
      <charset val="1"/>
    </font>
    <font>
      <sz val="11"/>
      <color rgb="FFFFFFFF"/>
      <name val="Trebuchet MS"/>
      <family val="2"/>
      <charset val="1"/>
    </font>
    <font>
      <b/>
      <u/>
      <sz val="11"/>
      <color rgb="FF000000"/>
      <name val="Trebuchet MS"/>
      <family val="2"/>
      <charset val="1"/>
    </font>
    <font>
      <sz val="11"/>
      <color rgb="FF000000"/>
      <name val="Calibri"/>
      <family val="2"/>
      <charset val="1"/>
    </font>
    <font>
      <b/>
      <sz val="8"/>
      <name val="Trebuchet MS"/>
      <family val="2"/>
      <charset val="1"/>
    </font>
    <font>
      <b/>
      <u/>
      <sz val="10"/>
      <color rgb="FF000000"/>
      <name val="Trebuchet MS"/>
      <family val="2"/>
      <charset val="1"/>
    </font>
    <font>
      <sz val="12"/>
      <color rgb="FFFF0000"/>
      <name val="BDO's Tick Marks"/>
      <charset val="1"/>
    </font>
    <font>
      <sz val="12"/>
      <name val="Trebuchet MS"/>
      <family val="2"/>
      <charset val="1"/>
    </font>
    <font>
      <sz val="11"/>
      <color rgb="FFFF0000"/>
      <name val="BDO's Tick Marks"/>
      <charset val="1"/>
    </font>
    <font>
      <b/>
      <sz val="12"/>
      <name val="Trebuchet MS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8"/>
      <color rgb="FF003366"/>
      <name val="Trebuchet MS"/>
      <family val="2"/>
      <charset val="1"/>
    </font>
    <font>
      <sz val="10"/>
      <color rgb="FF008000"/>
      <name val="Trebuchet MS"/>
      <family val="2"/>
      <charset val="1"/>
    </font>
    <font>
      <sz val="11"/>
      <color rgb="FF000000"/>
      <name val="Trebuchet MS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000000"/>
        <bgColor rgb="FF003300"/>
      </patternFill>
    </fill>
    <fill>
      <patternFill patternType="solid">
        <fgColor rgb="FFF2F2F2"/>
        <bgColor rgb="FFFFFFFF"/>
      </patternFill>
    </fill>
    <fill>
      <patternFill patternType="solid">
        <fgColor rgb="FF92D05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0000"/>
        <bgColor rgb="FFFF0000"/>
      </patternFill>
    </fill>
    <fill>
      <patternFill patternType="solid">
        <fgColor rgb="FFD9D9D9"/>
        <bgColor rgb="FFF2F2F2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8" fillId="0" borderId="0" applyBorder="0" applyProtection="0"/>
    <xf numFmtId="9" fontId="58" fillId="0" borderId="0" applyBorder="0" applyProtection="0"/>
  </cellStyleXfs>
  <cellXfs count="411">
    <xf numFmtId="0" fontId="0" fillId="0" borderId="0" xfId="0"/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167" fontId="37" fillId="0" borderId="2" xfId="0" applyNumberFormat="1" applyFont="1" applyBorder="1" applyAlignment="1" applyProtection="1">
      <alignment horizontal="center"/>
    </xf>
    <xf numFmtId="171" fontId="37" fillId="0" borderId="1" xfId="0" applyNumberFormat="1" applyFont="1" applyBorder="1" applyAlignment="1" applyProtection="1">
      <alignment horizontal="center"/>
    </xf>
    <xf numFmtId="167" fontId="37" fillId="0" borderId="1" xfId="0" applyNumberFormat="1" applyFont="1" applyBorder="1" applyAlignment="1" applyProtection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165" fontId="1" fillId="2" borderId="0" xfId="1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protection locked="0"/>
    </xf>
    <xf numFmtId="49" fontId="5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0" fontId="7" fillId="2" borderId="0" xfId="0" applyFont="1" applyFill="1" applyBorder="1"/>
    <xf numFmtId="0" fontId="8" fillId="2" borderId="0" xfId="0" applyFont="1" applyFill="1" applyBorder="1"/>
    <xf numFmtId="165" fontId="8" fillId="2" borderId="0" xfId="1" applyNumberFormat="1" applyFont="1" applyFill="1" applyBorder="1" applyAlignment="1" applyProtection="1"/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right"/>
    </xf>
    <xf numFmtId="0" fontId="11" fillId="2" borderId="0" xfId="0" applyFont="1" applyFill="1" applyBorder="1"/>
    <xf numFmtId="49" fontId="12" fillId="2" borderId="0" xfId="0" applyNumberFormat="1" applyFont="1" applyFill="1" applyBorder="1" applyAlignment="1" applyProtection="1">
      <protection locked="0"/>
    </xf>
    <xf numFmtId="49" fontId="13" fillId="2" borderId="0" xfId="0" applyNumberFormat="1" applyFont="1" applyFill="1" applyBorder="1" applyAlignment="1" applyProtection="1">
      <protection locked="0"/>
    </xf>
    <xf numFmtId="49" fontId="14" fillId="2" borderId="0" xfId="0" applyNumberFormat="1" applyFont="1" applyFill="1" applyBorder="1" applyAlignment="1" applyProtection="1">
      <protection locked="0"/>
    </xf>
    <xf numFmtId="49" fontId="5" fillId="2" borderId="0" xfId="0" applyNumberFormat="1" applyFont="1" applyFill="1" applyBorder="1" applyAlignment="1" applyProtection="1">
      <alignment horizontal="right"/>
      <protection locked="0"/>
    </xf>
    <xf numFmtId="49" fontId="15" fillId="2" borderId="0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/>
    <xf numFmtId="49" fontId="17" fillId="2" borderId="0" xfId="0" applyNumberFormat="1" applyFont="1" applyFill="1" applyBorder="1" applyAlignment="1" applyProtection="1">
      <alignment horizontal="center"/>
    </xf>
    <xf numFmtId="49" fontId="16" fillId="2" borderId="1" xfId="0" applyNumberFormat="1" applyFont="1" applyFill="1" applyBorder="1"/>
    <xf numFmtId="49" fontId="14" fillId="2" borderId="1" xfId="0" applyNumberFormat="1" applyFont="1" applyFill="1" applyBorder="1"/>
    <xf numFmtId="49" fontId="18" fillId="2" borderId="1" xfId="0" applyNumberFormat="1" applyFont="1" applyFill="1" applyBorder="1" applyAlignment="1" applyProtection="1">
      <protection locked="0"/>
    </xf>
    <xf numFmtId="49" fontId="19" fillId="2" borderId="1" xfId="0" applyNumberFormat="1" applyFont="1" applyFill="1" applyBorder="1" applyProtection="1">
      <protection locked="0"/>
    </xf>
    <xf numFmtId="49" fontId="19" fillId="2" borderId="0" xfId="0" applyNumberFormat="1" applyFont="1" applyFill="1" applyBorder="1" applyProtection="1">
      <protection locked="0"/>
    </xf>
    <xf numFmtId="49" fontId="19" fillId="2" borderId="1" xfId="0" applyNumberFormat="1" applyFont="1" applyFill="1" applyBorder="1" applyAlignment="1" applyProtection="1">
      <alignment horizontal="right"/>
      <protection locked="0"/>
    </xf>
    <xf numFmtId="49" fontId="1" fillId="2" borderId="0" xfId="1" applyNumberFormat="1" applyFont="1" applyFill="1" applyBorder="1" applyAlignment="1" applyProtection="1"/>
    <xf numFmtId="0" fontId="20" fillId="2" borderId="0" xfId="0" applyFont="1" applyFill="1" applyBorder="1" applyProtection="1"/>
    <xf numFmtId="0" fontId="11" fillId="2" borderId="0" xfId="0" applyFont="1" applyFill="1" applyBorder="1" applyProtection="1"/>
    <xf numFmtId="166" fontId="21" fillId="2" borderId="0" xfId="0" applyNumberFormat="1" applyFont="1" applyFill="1" applyBorder="1" applyProtection="1"/>
    <xf numFmtId="166" fontId="21" fillId="2" borderId="0" xfId="0" applyNumberFormat="1" applyFont="1" applyFill="1" applyBorder="1" applyAlignment="1" applyProtection="1">
      <alignment horizontal="right"/>
    </xf>
    <xf numFmtId="166" fontId="22" fillId="2" borderId="0" xfId="0" applyNumberFormat="1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wrapText="1"/>
    </xf>
    <xf numFmtId="0" fontId="23" fillId="2" borderId="1" xfId="0" applyFont="1" applyFill="1" applyBorder="1" applyAlignment="1" applyProtection="1">
      <alignment horizontal="center" wrapText="1"/>
    </xf>
    <xf numFmtId="0" fontId="24" fillId="2" borderId="0" xfId="0" applyFont="1" applyFill="1" applyBorder="1" applyAlignment="1" applyProtection="1">
      <alignment horizontal="right"/>
    </xf>
    <xf numFmtId="165" fontId="1" fillId="2" borderId="0" xfId="1" applyNumberFormat="1" applyFont="1" applyFill="1" applyBorder="1" applyAlignment="1" applyProtection="1">
      <alignment horizontal="center" wrapText="1"/>
    </xf>
    <xf numFmtId="0" fontId="25" fillId="2" borderId="0" xfId="0" applyFont="1" applyFill="1" applyBorder="1" applyProtection="1"/>
    <xf numFmtId="0" fontId="26" fillId="2" borderId="0" xfId="0" applyFont="1" applyFill="1"/>
    <xf numFmtId="167" fontId="26" fillId="2" borderId="0" xfId="1" applyNumberFormat="1" applyFont="1" applyFill="1" applyBorder="1" applyAlignment="1" applyProtection="1"/>
    <xf numFmtId="164" fontId="26" fillId="2" borderId="2" xfId="1" applyFont="1" applyFill="1" applyBorder="1" applyAlignment="1" applyProtection="1"/>
    <xf numFmtId="10" fontId="26" fillId="2" borderId="2" xfId="2" applyNumberFormat="1" applyFont="1" applyFill="1" applyBorder="1" applyAlignment="1" applyProtection="1">
      <alignment horizontal="right"/>
    </xf>
    <xf numFmtId="164" fontId="1" fillId="2" borderId="0" xfId="1" applyFont="1" applyFill="1" applyBorder="1" applyAlignment="1" applyProtection="1"/>
    <xf numFmtId="168" fontId="1" fillId="2" borderId="0" xfId="2" applyNumberFormat="1" applyFont="1" applyFill="1" applyBorder="1" applyAlignment="1" applyProtection="1"/>
    <xf numFmtId="0" fontId="27" fillId="2" borderId="3" xfId="0" applyFont="1" applyFill="1" applyBorder="1"/>
    <xf numFmtId="167" fontId="11" fillId="2" borderId="3" xfId="1" applyNumberFormat="1" applyFont="1" applyFill="1" applyBorder="1" applyAlignment="1" applyProtection="1"/>
    <xf numFmtId="167" fontId="11" fillId="2" borderId="0" xfId="1" applyNumberFormat="1" applyFont="1" applyFill="1" applyBorder="1" applyAlignment="1" applyProtection="1"/>
    <xf numFmtId="164" fontId="11" fillId="0" borderId="3" xfId="1" applyFont="1" applyBorder="1" applyAlignment="1" applyProtection="1"/>
    <xf numFmtId="10" fontId="28" fillId="2" borderId="3" xfId="2" applyNumberFormat="1" applyFont="1" applyFill="1" applyBorder="1" applyAlignment="1" applyProtection="1">
      <alignment horizontal="right"/>
    </xf>
    <xf numFmtId="164" fontId="11" fillId="0" borderId="3" xfId="1" applyFont="1" applyBorder="1" applyAlignment="1" applyProtection="1">
      <alignment vertical="center"/>
    </xf>
    <xf numFmtId="10" fontId="1" fillId="2" borderId="0" xfId="0" applyNumberFormat="1" applyFont="1" applyFill="1" applyBorder="1"/>
    <xf numFmtId="10" fontId="1" fillId="2" borderId="0" xfId="2" applyNumberFormat="1" applyFont="1" applyFill="1" applyBorder="1" applyAlignment="1" applyProtection="1"/>
    <xf numFmtId="0" fontId="27" fillId="2" borderId="0" xfId="0" applyFont="1" applyFill="1"/>
    <xf numFmtId="164" fontId="11" fillId="2" borderId="0" xfId="1" applyFont="1" applyFill="1" applyBorder="1" applyAlignment="1" applyProtection="1"/>
    <xf numFmtId="164" fontId="28" fillId="2" borderId="0" xfId="1" applyFont="1" applyFill="1" applyBorder="1" applyAlignment="1" applyProtection="1">
      <alignment horizontal="right"/>
    </xf>
    <xf numFmtId="164" fontId="11" fillId="0" borderId="0" xfId="1" applyFont="1" applyBorder="1" applyAlignment="1" applyProtection="1">
      <alignment vertical="center"/>
    </xf>
    <xf numFmtId="164" fontId="27" fillId="0" borderId="3" xfId="1" applyFont="1" applyBorder="1" applyAlignment="1" applyProtection="1"/>
    <xf numFmtId="0" fontId="27" fillId="2" borderId="0" xfId="0" applyFont="1" applyFill="1" applyBorder="1"/>
    <xf numFmtId="164" fontId="11" fillId="0" borderId="4" xfId="1" applyFont="1" applyBorder="1" applyAlignment="1" applyProtection="1">
      <alignment horizontal="left" vertical="center"/>
    </xf>
    <xf numFmtId="167" fontId="11" fillId="2" borderId="4" xfId="1" applyNumberFormat="1" applyFont="1" applyFill="1" applyBorder="1" applyAlignment="1" applyProtection="1"/>
    <xf numFmtId="164" fontId="27" fillId="0" borderId="4" xfId="1" applyFont="1" applyBorder="1" applyAlignment="1" applyProtection="1"/>
    <xf numFmtId="164" fontId="11" fillId="0" borderId="4" xfId="1" applyFont="1" applyBorder="1" applyAlignment="1" applyProtection="1">
      <alignment vertical="center"/>
    </xf>
    <xf numFmtId="164" fontId="11" fillId="0" borderId="3" xfId="1" applyFont="1" applyBorder="1" applyAlignment="1" applyProtection="1">
      <alignment horizontal="left" vertical="center"/>
    </xf>
    <xf numFmtId="164" fontId="27" fillId="0" borderId="3" xfId="1" applyFont="1" applyBorder="1" applyAlignment="1" applyProtection="1"/>
    <xf numFmtId="164" fontId="11" fillId="0" borderId="0" xfId="1" applyFont="1" applyBorder="1" applyAlignment="1" applyProtection="1">
      <alignment horizontal="left" vertical="center"/>
    </xf>
    <xf numFmtId="164" fontId="27" fillId="0" borderId="0" xfId="1" applyFont="1" applyBorder="1" applyAlignment="1" applyProtection="1"/>
    <xf numFmtId="164" fontId="11" fillId="0" borderId="4" xfId="1" applyFont="1" applyBorder="1" applyAlignment="1" applyProtection="1"/>
    <xf numFmtId="164" fontId="27" fillId="0" borderId="4" xfId="1" applyFont="1" applyBorder="1" applyAlignment="1" applyProtection="1"/>
    <xf numFmtId="164" fontId="11" fillId="2" borderId="3" xfId="1" applyFont="1" applyFill="1" applyBorder="1" applyAlignment="1" applyProtection="1"/>
    <xf numFmtId="164" fontId="27" fillId="0" borderId="0" xfId="1" applyFont="1" applyBorder="1" applyAlignment="1" applyProtection="1"/>
    <xf numFmtId="167" fontId="11" fillId="0" borderId="0" xfId="1" applyNumberFormat="1" applyFont="1" applyBorder="1" applyAlignment="1" applyProtection="1"/>
    <xf numFmtId="10" fontId="28" fillId="0" borderId="3" xfId="2" applyNumberFormat="1" applyFont="1" applyBorder="1" applyAlignment="1" applyProtection="1">
      <alignment horizontal="right"/>
    </xf>
    <xf numFmtId="164" fontId="11" fillId="0" borderId="4" xfId="1" applyFont="1" applyBorder="1" applyAlignment="1" applyProtection="1">
      <alignment vertical="center"/>
    </xf>
    <xf numFmtId="49" fontId="27" fillId="0" borderId="4" xfId="0" applyNumberFormat="1" applyFont="1" applyBorder="1" applyAlignment="1"/>
    <xf numFmtId="164" fontId="1" fillId="2" borderId="0" xfId="2" applyNumberFormat="1" applyFont="1" applyFill="1" applyBorder="1" applyAlignment="1" applyProtection="1"/>
    <xf numFmtId="164" fontId="28" fillId="0" borderId="0" xfId="1" applyFont="1" applyBorder="1" applyAlignment="1" applyProtection="1">
      <alignment horizontal="right"/>
    </xf>
    <xf numFmtId="164" fontId="11" fillId="2" borderId="3" xfId="1" applyFont="1" applyFill="1" applyBorder="1" applyAlignment="1" applyProtection="1">
      <alignment vertical="center"/>
    </xf>
    <xf numFmtId="164" fontId="11" fillId="2" borderId="0" xfId="1" applyFont="1" applyFill="1" applyBorder="1" applyAlignment="1" applyProtection="1">
      <alignment horizontal="right"/>
    </xf>
    <xf numFmtId="0" fontId="26" fillId="2" borderId="3" xfId="0" applyFont="1" applyFill="1" applyBorder="1"/>
    <xf numFmtId="167" fontId="26" fillId="2" borderId="3" xfId="1" applyNumberFormat="1" applyFont="1" applyFill="1" applyBorder="1" applyAlignment="1" applyProtection="1"/>
    <xf numFmtId="164" fontId="26" fillId="2" borderId="3" xfId="1" applyFont="1" applyFill="1" applyBorder="1" applyAlignment="1" applyProtection="1"/>
    <xf numFmtId="10" fontId="26" fillId="2" borderId="3" xfId="2" applyNumberFormat="1" applyFont="1" applyFill="1" applyBorder="1" applyAlignment="1" applyProtection="1">
      <alignment horizontal="right"/>
    </xf>
    <xf numFmtId="0" fontId="11" fillId="2" borderId="4" xfId="0" applyFont="1" applyFill="1" applyBorder="1" applyProtection="1"/>
    <xf numFmtId="0" fontId="1" fillId="2" borderId="4" xfId="0" applyFont="1" applyFill="1" applyBorder="1"/>
    <xf numFmtId="164" fontId="27" fillId="2" borderId="4" xfId="1" applyFont="1" applyFill="1" applyBorder="1" applyAlignment="1" applyProtection="1"/>
    <xf numFmtId="164" fontId="27" fillId="0" borderId="4" xfId="1" applyFont="1" applyBorder="1" applyAlignment="1" applyProtection="1">
      <alignment horizontal="right"/>
    </xf>
    <xf numFmtId="164" fontId="11" fillId="2" borderId="4" xfId="1" applyFont="1" applyFill="1" applyBorder="1" applyAlignment="1" applyProtection="1"/>
    <xf numFmtId="164" fontId="11" fillId="2" borderId="4" xfId="1" applyFont="1" applyFill="1" applyBorder="1" applyAlignment="1" applyProtection="1">
      <alignment horizontal="right"/>
    </xf>
    <xf numFmtId="0" fontId="11" fillId="2" borderId="3" xfId="0" applyFont="1" applyFill="1" applyBorder="1" applyProtection="1"/>
    <xf numFmtId="0" fontId="1" fillId="2" borderId="3" xfId="0" applyFont="1" applyFill="1" applyBorder="1"/>
    <xf numFmtId="164" fontId="11" fillId="2" borderId="3" xfId="1" applyFont="1" applyFill="1" applyBorder="1" applyAlignment="1" applyProtection="1">
      <alignment horizontal="right"/>
    </xf>
    <xf numFmtId="167" fontId="21" fillId="2" borderId="0" xfId="1" applyNumberFormat="1" applyFont="1" applyFill="1" applyBorder="1" applyAlignment="1" applyProtection="1"/>
    <xf numFmtId="0" fontId="26" fillId="0" borderId="3" xfId="0" applyFont="1" applyBorder="1" applyProtection="1"/>
    <xf numFmtId="0" fontId="26" fillId="2" borderId="3" xfId="0" applyFont="1" applyFill="1" applyBorder="1" applyProtection="1"/>
    <xf numFmtId="0" fontId="29" fillId="2" borderId="3" xfId="0" applyFont="1" applyFill="1" applyBorder="1"/>
    <xf numFmtId="4" fontId="30" fillId="2" borderId="3" xfId="1" applyNumberFormat="1" applyFont="1" applyFill="1" applyBorder="1" applyAlignment="1" applyProtection="1"/>
    <xf numFmtId="4" fontId="30" fillId="2" borderId="0" xfId="1" applyNumberFormat="1" applyFont="1" applyFill="1" applyBorder="1" applyAlignment="1" applyProtection="1"/>
    <xf numFmtId="167" fontId="1" fillId="2" borderId="0" xfId="0" applyNumberFormat="1" applyFont="1" applyFill="1" applyBorder="1"/>
    <xf numFmtId="0" fontId="21" fillId="0" borderId="0" xfId="0" applyFont="1" applyBorder="1" applyProtection="1"/>
    <xf numFmtId="0" fontId="21" fillId="2" borderId="0" xfId="0" applyFont="1" applyFill="1" applyBorder="1" applyProtection="1"/>
    <xf numFmtId="4" fontId="21" fillId="2" borderId="0" xfId="1" applyNumberFormat="1" applyFont="1" applyFill="1" applyBorder="1" applyAlignment="1" applyProtection="1"/>
    <xf numFmtId="164" fontId="21" fillId="2" borderId="5" xfId="1" applyFont="1" applyFill="1" applyBorder="1" applyAlignment="1" applyProtection="1"/>
    <xf numFmtId="164" fontId="21" fillId="2" borderId="5" xfId="1" applyFont="1" applyFill="1" applyBorder="1" applyAlignment="1" applyProtection="1">
      <alignment horizontal="right"/>
    </xf>
    <xf numFmtId="4" fontId="21" fillId="2" borderId="5" xfId="1" applyNumberFormat="1" applyFont="1" applyFill="1" applyBorder="1" applyAlignment="1" applyProtection="1"/>
    <xf numFmtId="0" fontId="26" fillId="0" borderId="0" xfId="0" applyFont="1" applyBorder="1" applyProtection="1"/>
    <xf numFmtId="0" fontId="30" fillId="2" borderId="0" xfId="0" applyFont="1" applyFill="1" applyBorder="1" applyProtection="1"/>
    <xf numFmtId="0" fontId="29" fillId="2" borderId="0" xfId="0" applyFont="1" applyFill="1" applyBorder="1"/>
    <xf numFmtId="4" fontId="26" fillId="2" borderId="0" xfId="1" applyNumberFormat="1" applyFont="1" applyFill="1" applyBorder="1" applyAlignment="1" applyProtection="1"/>
    <xf numFmtId="4" fontId="26" fillId="2" borderId="1" xfId="1" applyNumberFormat="1" applyFont="1" applyFill="1" applyBorder="1" applyAlignment="1" applyProtection="1"/>
    <xf numFmtId="10" fontId="26" fillId="2" borderId="1" xfId="2" applyNumberFormat="1" applyFont="1" applyFill="1" applyBorder="1" applyAlignment="1" applyProtection="1">
      <alignment horizontal="right"/>
    </xf>
    <xf numFmtId="167" fontId="1" fillId="2" borderId="0" xfId="1" applyNumberFormat="1" applyFont="1" applyFill="1" applyBorder="1" applyAlignment="1" applyProtection="1"/>
    <xf numFmtId="4" fontId="11" fillId="2" borderId="0" xfId="1" applyNumberFormat="1" applyFont="1" applyFill="1" applyBorder="1" applyAlignment="1" applyProtection="1"/>
    <xf numFmtId="4" fontId="11" fillId="0" borderId="3" xfId="1" applyNumberFormat="1" applyFont="1" applyBorder="1" applyAlignment="1" applyProtection="1"/>
    <xf numFmtId="4" fontId="11" fillId="2" borderId="3" xfId="1" applyNumberFormat="1" applyFont="1" applyFill="1" applyBorder="1" applyAlignment="1" applyProtection="1"/>
    <xf numFmtId="10" fontId="28" fillId="0" borderId="3" xfId="2" applyNumberFormat="1" applyFont="1" applyBorder="1" applyAlignment="1" applyProtection="1">
      <alignment horizontal="right"/>
    </xf>
    <xf numFmtId="164" fontId="11" fillId="0" borderId="3" xfId="1" applyFont="1" applyBorder="1" applyAlignment="1" applyProtection="1"/>
    <xf numFmtId="4" fontId="11" fillId="0" borderId="4" xfId="1" applyNumberFormat="1" applyFont="1" applyBorder="1" applyAlignment="1" applyProtection="1"/>
    <xf numFmtId="4" fontId="11" fillId="2" borderId="4" xfId="1" applyNumberFormat="1" applyFont="1" applyFill="1" applyBorder="1" applyAlignment="1" applyProtection="1"/>
    <xf numFmtId="49" fontId="27" fillId="0" borderId="0" xfId="0" applyNumberFormat="1" applyFont="1" applyAlignment="1"/>
    <xf numFmtId="4" fontId="11" fillId="0" borderId="0" xfId="1" applyNumberFormat="1" applyFont="1" applyBorder="1" applyAlignment="1" applyProtection="1"/>
    <xf numFmtId="164" fontId="11" fillId="0" borderId="0" xfId="1" applyFont="1" applyBorder="1" applyAlignment="1" applyProtection="1"/>
    <xf numFmtId="0" fontId="11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27" fillId="0" borderId="4" xfId="0" applyNumberFormat="1" applyFont="1" applyBorder="1" applyAlignment="1"/>
    <xf numFmtId="0" fontId="11" fillId="0" borderId="4" xfId="0" applyFont="1" applyBorder="1" applyProtection="1"/>
    <xf numFmtId="4" fontId="11" fillId="0" borderId="4" xfId="1" applyNumberFormat="1" applyFont="1" applyBorder="1" applyAlignment="1" applyProtection="1"/>
    <xf numFmtId="4" fontId="11" fillId="0" borderId="0" xfId="1" applyNumberFormat="1" applyFont="1" applyBorder="1" applyAlignment="1" applyProtection="1"/>
    <xf numFmtId="164" fontId="2" fillId="0" borderId="0" xfId="1" applyFont="1" applyBorder="1" applyAlignment="1" applyProtection="1"/>
    <xf numFmtId="164" fontId="31" fillId="2" borderId="4" xfId="1" applyFont="1" applyFill="1" applyBorder="1" applyAlignment="1" applyProtection="1">
      <alignment horizontal="right"/>
    </xf>
    <xf numFmtId="0" fontId="11" fillId="0" borderId="4" xfId="0" applyFont="1" applyBorder="1"/>
    <xf numFmtId="164" fontId="11" fillId="0" borderId="4" xfId="1" applyFont="1" applyBorder="1" applyAlignment="1" applyProtection="1"/>
    <xf numFmtId="0" fontId="11" fillId="0" borderId="0" xfId="0" applyFont="1" applyBorder="1"/>
    <xf numFmtId="0" fontId="11" fillId="0" borderId="3" xfId="0" applyFont="1" applyBorder="1"/>
    <xf numFmtId="164" fontId="11" fillId="2" borderId="4" xfId="1" applyFont="1" applyFill="1" applyBorder="1" applyAlignment="1" applyProtection="1">
      <alignment vertical="center"/>
    </xf>
    <xf numFmtId="164" fontId="28" fillId="2" borderId="4" xfId="1" applyFont="1" applyFill="1" applyBorder="1" applyAlignment="1" applyProtection="1">
      <alignment horizontal="right"/>
    </xf>
    <xf numFmtId="0" fontId="2" fillId="2" borderId="4" xfId="0" applyFont="1" applyFill="1" applyBorder="1"/>
    <xf numFmtId="164" fontId="32" fillId="2" borderId="0" xfId="1" applyFont="1" applyFill="1" applyBorder="1" applyAlignment="1" applyProtection="1"/>
    <xf numFmtId="167" fontId="32" fillId="2" borderId="0" xfId="0" applyNumberFormat="1" applyFont="1" applyFill="1" applyBorder="1"/>
    <xf numFmtId="164" fontId="11" fillId="0" borderId="3" xfId="1" applyFont="1" applyBorder="1" applyAlignment="1" applyProtection="1">
      <alignment vertical="center"/>
    </xf>
    <xf numFmtId="0" fontId="11" fillId="0" borderId="3" xfId="0" applyFont="1" applyBorder="1" applyProtection="1"/>
    <xf numFmtId="164" fontId="11" fillId="0" borderId="3" xfId="1" applyFont="1" applyBorder="1" applyAlignment="1" applyProtection="1">
      <alignment horizontal="right"/>
    </xf>
    <xf numFmtId="164" fontId="11" fillId="0" borderId="5" xfId="1" applyFont="1" applyBorder="1" applyAlignment="1" applyProtection="1">
      <alignment horizontal="right"/>
    </xf>
    <xf numFmtId="4" fontId="21" fillId="2" borderId="1" xfId="1" applyNumberFormat="1" applyFont="1" applyFill="1" applyBorder="1" applyAlignment="1" applyProtection="1"/>
    <xf numFmtId="164" fontId="21" fillId="2" borderId="0" xfId="1" applyFont="1" applyFill="1" applyBorder="1" applyAlignment="1" applyProtection="1"/>
    <xf numFmtId="164" fontId="21" fillId="2" borderId="0" xfId="1" applyFont="1" applyFill="1" applyBorder="1" applyAlignment="1" applyProtection="1">
      <alignment horizontal="right"/>
    </xf>
    <xf numFmtId="0" fontId="26" fillId="2" borderId="0" xfId="0" applyFont="1" applyFill="1" applyBorder="1" applyProtection="1"/>
    <xf numFmtId="4" fontId="26" fillId="2" borderId="0" xfId="0" applyNumberFormat="1" applyFont="1" applyFill="1" applyBorder="1"/>
    <xf numFmtId="4" fontId="26" fillId="2" borderId="2" xfId="0" applyNumberFormat="1" applyFont="1" applyFill="1" applyBorder="1"/>
    <xf numFmtId="164" fontId="11" fillId="2" borderId="1" xfId="1" applyFont="1" applyFill="1" applyBorder="1" applyAlignment="1" applyProtection="1">
      <alignment horizontal="right"/>
    </xf>
    <xf numFmtId="0" fontId="33" fillId="2" borderId="0" xfId="0" applyFont="1" applyFill="1" applyBorder="1" applyProtection="1"/>
    <xf numFmtId="4" fontId="11" fillId="2" borderId="3" xfId="1" applyNumberFormat="1" applyFont="1" applyFill="1" applyBorder="1" applyAlignment="1" applyProtection="1">
      <alignment horizontal="right"/>
    </xf>
    <xf numFmtId="4" fontId="11" fillId="2" borderId="0" xfId="1" applyNumberFormat="1" applyFont="1" applyFill="1" applyBorder="1" applyAlignment="1" applyProtection="1">
      <alignment horizontal="right"/>
    </xf>
    <xf numFmtId="0" fontId="27" fillId="0" borderId="3" xfId="0" applyFont="1" applyBorder="1"/>
    <xf numFmtId="0" fontId="1" fillId="0" borderId="3" xfId="0" applyFont="1" applyBorder="1"/>
    <xf numFmtId="4" fontId="11" fillId="0" borderId="3" xfId="1" applyNumberFormat="1" applyFont="1" applyBorder="1" applyAlignment="1" applyProtection="1">
      <alignment horizontal="right"/>
    </xf>
    <xf numFmtId="4" fontId="11" fillId="0" borderId="0" xfId="1" applyNumberFormat="1" applyFont="1" applyBorder="1" applyAlignment="1" applyProtection="1">
      <alignment horizontal="right"/>
    </xf>
    <xf numFmtId="0" fontId="27" fillId="2" borderId="4" xfId="0" applyFont="1" applyFill="1" applyBorder="1"/>
    <xf numFmtId="4" fontId="11" fillId="2" borderId="4" xfId="1" applyNumberFormat="1" applyFont="1" applyFill="1" applyBorder="1" applyAlignment="1" applyProtection="1">
      <alignment horizontal="right"/>
    </xf>
    <xf numFmtId="164" fontId="11" fillId="0" borderId="4" xfId="1" applyFont="1" applyBorder="1" applyAlignment="1" applyProtection="1">
      <alignment horizontal="right"/>
    </xf>
    <xf numFmtId="4" fontId="26" fillId="2" borderId="6" xfId="1" applyNumberFormat="1" applyFont="1" applyFill="1" applyBorder="1" applyAlignment="1" applyProtection="1"/>
    <xf numFmtId="4" fontId="26" fillId="2" borderId="6" xfId="1" applyNumberFormat="1" applyFont="1" applyFill="1" applyBorder="1" applyAlignment="1" applyProtection="1">
      <alignment horizontal="right"/>
    </xf>
    <xf numFmtId="4" fontId="30" fillId="2" borderId="0" xfId="0" applyNumberFormat="1" applyFont="1" applyFill="1" applyBorder="1"/>
    <xf numFmtId="4" fontId="26" fillId="2" borderId="7" xfId="1" applyNumberFormat="1" applyFont="1" applyFill="1" applyBorder="1" applyAlignment="1" applyProtection="1"/>
    <xf numFmtId="4" fontId="26" fillId="2" borderId="7" xfId="1" applyNumberFormat="1" applyFont="1" applyFill="1" applyBorder="1" applyAlignment="1" applyProtection="1">
      <alignment horizontal="right"/>
    </xf>
    <xf numFmtId="169" fontId="0" fillId="0" borderId="0" xfId="1" applyNumberFormat="1" applyFont="1" applyBorder="1" applyAlignment="1" applyProtection="1"/>
    <xf numFmtId="0" fontId="0" fillId="3" borderId="0" xfId="0" applyFill="1"/>
    <xf numFmtId="169" fontId="34" fillId="4" borderId="0" xfId="1" applyNumberFormat="1" applyFont="1" applyFill="1" applyBorder="1" applyAlignment="1" applyProtection="1"/>
    <xf numFmtId="0" fontId="0" fillId="4" borderId="0" xfId="0" applyFill="1"/>
    <xf numFmtId="0" fontId="35" fillId="4" borderId="0" xfId="0" applyFont="1" applyFill="1"/>
    <xf numFmtId="0" fontId="35" fillId="0" borderId="0" xfId="0" applyFont="1"/>
    <xf numFmtId="0" fontId="0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9" fontId="0" fillId="0" borderId="0" xfId="0" applyNumberFormat="1"/>
    <xf numFmtId="169" fontId="36" fillId="0" borderId="0" xfId="1" applyNumberFormat="1" applyFont="1" applyBorder="1" applyAlignment="1" applyProtection="1">
      <alignment horizontal="center"/>
    </xf>
    <xf numFmtId="0" fontId="36" fillId="0" borderId="0" xfId="0" applyFont="1" applyAlignment="1">
      <alignment horizontal="center"/>
    </xf>
    <xf numFmtId="170" fontId="36" fillId="0" borderId="0" xfId="0" applyNumberFormat="1" applyFont="1" applyAlignment="1">
      <alignment horizontal="center"/>
    </xf>
    <xf numFmtId="169" fontId="0" fillId="4" borderId="0" xfId="1" applyNumberFormat="1" applyFont="1" applyFill="1" applyBorder="1" applyAlignment="1" applyProtection="1"/>
    <xf numFmtId="0" fontId="0" fillId="4" borderId="0" xfId="0" applyFont="1" applyFill="1"/>
    <xf numFmtId="0" fontId="34" fillId="4" borderId="0" xfId="0" applyFont="1" applyFill="1"/>
    <xf numFmtId="169" fontId="34" fillId="0" borderId="0" xfId="1" applyNumberFormat="1" applyFont="1" applyBorder="1" applyAlignment="1" applyProtection="1"/>
    <xf numFmtId="0" fontId="0" fillId="0" borderId="7" xfId="0" applyFont="1" applyBorder="1"/>
    <xf numFmtId="169" fontId="0" fillId="0" borderId="7" xfId="1" applyNumberFormat="1" applyFont="1" applyBorder="1" applyAlignment="1" applyProtection="1"/>
    <xf numFmtId="0" fontId="0" fillId="0" borderId="0" xfId="0" applyFont="1" applyAlignment="1">
      <alignment vertical="top"/>
    </xf>
    <xf numFmtId="0" fontId="37" fillId="0" borderId="0" xfId="0" applyFont="1"/>
    <xf numFmtId="0" fontId="37" fillId="4" borderId="0" xfId="0" applyFont="1" applyFill="1"/>
    <xf numFmtId="167" fontId="37" fillId="0" borderId="0" xfId="0" applyNumberFormat="1" applyFont="1" applyBorder="1" applyAlignment="1" applyProtection="1"/>
    <xf numFmtId="167" fontId="37" fillId="4" borderId="0" xfId="0" applyNumberFormat="1" applyFont="1" applyFill="1" applyBorder="1" applyAlignment="1" applyProtection="1"/>
    <xf numFmtId="171" fontId="37" fillId="0" borderId="0" xfId="0" applyNumberFormat="1" applyFont="1"/>
    <xf numFmtId="167" fontId="37" fillId="0" borderId="0" xfId="0" applyNumberFormat="1" applyFont="1" applyBorder="1" applyAlignment="1" applyProtection="1">
      <alignment horizontal="center"/>
    </xf>
    <xf numFmtId="171" fontId="37" fillId="0" borderId="1" xfId="0" applyNumberFormat="1" applyFont="1" applyBorder="1" applyAlignment="1" applyProtection="1">
      <alignment horizontal="center"/>
    </xf>
    <xf numFmtId="0" fontId="38" fillId="0" borderId="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7" fontId="37" fillId="4" borderId="0" xfId="0" applyNumberFormat="1" applyFont="1" applyFill="1" applyBorder="1" applyAlignment="1" applyProtection="1">
      <alignment horizontal="center"/>
    </xf>
    <xf numFmtId="171" fontId="37" fillId="0" borderId="0" xfId="0" applyNumberFormat="1" applyFont="1" applyAlignment="1">
      <alignment horizontal="center"/>
    </xf>
    <xf numFmtId="0" fontId="37" fillId="0" borderId="0" xfId="0" applyFont="1" applyBorder="1" applyAlignment="1">
      <alignment horizontal="center"/>
    </xf>
    <xf numFmtId="167" fontId="39" fillId="4" borderId="0" xfId="0" applyNumberFormat="1" applyFont="1" applyFill="1" applyBorder="1" applyAlignment="1" applyProtection="1">
      <alignment horizontal="center"/>
    </xf>
    <xf numFmtId="0" fontId="40" fillId="0" borderId="0" xfId="0" applyFont="1"/>
    <xf numFmtId="171" fontId="41" fillId="4" borderId="0" xfId="0" applyNumberFormat="1" applyFont="1" applyFill="1"/>
    <xf numFmtId="171" fontId="41" fillId="0" borderId="0" xfId="0" applyNumberFormat="1" applyFont="1"/>
    <xf numFmtId="167" fontId="42" fillId="0" borderId="0" xfId="0" applyNumberFormat="1" applyFont="1" applyBorder="1" applyAlignment="1" applyProtection="1">
      <alignment horizontal="center"/>
    </xf>
    <xf numFmtId="0" fontId="43" fillId="0" borderId="0" xfId="0" applyFont="1"/>
    <xf numFmtId="172" fontId="37" fillId="0" borderId="0" xfId="0" applyNumberFormat="1" applyFont="1" applyBorder="1" applyAlignment="1" applyProtection="1"/>
    <xf numFmtId="3" fontId="37" fillId="0" borderId="0" xfId="0" applyNumberFormat="1" applyFont="1"/>
    <xf numFmtId="173" fontId="37" fillId="0" borderId="0" xfId="0" applyNumberFormat="1" applyFont="1"/>
    <xf numFmtId="167" fontId="37" fillId="0" borderId="8" xfId="0" applyNumberFormat="1" applyFont="1" applyBorder="1" applyAlignment="1" applyProtection="1"/>
    <xf numFmtId="167" fontId="37" fillId="4" borderId="8" xfId="0" applyNumberFormat="1" applyFont="1" applyFill="1" applyBorder="1" applyAlignment="1" applyProtection="1"/>
    <xf numFmtId="172" fontId="37" fillId="0" borderId="8" xfId="0" applyNumberFormat="1" applyFont="1" applyBorder="1" applyAlignment="1" applyProtection="1"/>
    <xf numFmtId="171" fontId="37" fillId="0" borderId="8" xfId="0" applyNumberFormat="1" applyFont="1" applyBorder="1"/>
    <xf numFmtId="0" fontId="37" fillId="0" borderId="8" xfId="0" applyFont="1" applyBorder="1"/>
    <xf numFmtId="167" fontId="37" fillId="5" borderId="8" xfId="0" applyNumberFormat="1" applyFont="1" applyFill="1" applyBorder="1" applyAlignment="1" applyProtection="1"/>
    <xf numFmtId="173" fontId="37" fillId="0" borderId="0" xfId="0" applyNumberFormat="1" applyFont="1" applyBorder="1" applyAlignment="1" applyProtection="1"/>
    <xf numFmtId="173" fontId="37" fillId="0" borderId="0" xfId="0" applyNumberFormat="1" applyFont="1" applyBorder="1"/>
    <xf numFmtId="167" fontId="37" fillId="6" borderId="8" xfId="0" applyNumberFormat="1" applyFont="1" applyFill="1" applyBorder="1" applyAlignment="1" applyProtection="1"/>
    <xf numFmtId="171" fontId="43" fillId="0" borderId="0" xfId="0" applyNumberFormat="1" applyFont="1"/>
    <xf numFmtId="0" fontId="37" fillId="0" borderId="0" xfId="0" applyFont="1" applyBorder="1" applyAlignment="1" applyProtection="1"/>
    <xf numFmtId="0" fontId="34" fillId="0" borderId="0" xfId="0" applyFont="1"/>
    <xf numFmtId="170" fontId="43" fillId="0" borderId="1" xfId="0" applyNumberFormat="1" applyFont="1" applyBorder="1" applyAlignment="1">
      <alignment horizontal="center"/>
    </xf>
    <xf numFmtId="0" fontId="44" fillId="7" borderId="0" xfId="0" applyFont="1" applyFill="1"/>
    <xf numFmtId="0" fontId="45" fillId="7" borderId="0" xfId="0" applyFont="1" applyFill="1"/>
    <xf numFmtId="0" fontId="37" fillId="8" borderId="0" xfId="0" applyFont="1" applyFill="1"/>
    <xf numFmtId="0" fontId="37" fillId="0" borderId="0" xfId="0" applyFont="1" applyBorder="1"/>
    <xf numFmtId="170" fontId="0" fillId="0" borderId="0" xfId="0" applyNumberFormat="1"/>
    <xf numFmtId="170" fontId="37" fillId="0" borderId="0" xfId="0" applyNumberFormat="1" applyFont="1"/>
    <xf numFmtId="170" fontId="46" fillId="0" borderId="0" xfId="0" applyNumberFormat="1" applyFont="1" applyBorder="1" applyAlignment="1" applyProtection="1">
      <alignment horizontal="center"/>
    </xf>
    <xf numFmtId="167" fontId="37" fillId="0" borderId="0" xfId="0" applyNumberFormat="1" applyFont="1" applyBorder="1" applyAlignment="1" applyProtection="1">
      <alignment horizontal="right"/>
    </xf>
    <xf numFmtId="167" fontId="1" fillId="2" borderId="0" xfId="1" applyNumberFormat="1" applyFont="1" applyFill="1" applyBorder="1" applyAlignment="1" applyProtection="1">
      <alignment vertical="top"/>
    </xf>
    <xf numFmtId="9" fontId="1" fillId="2" borderId="0" xfId="2" applyFont="1" applyFill="1" applyBorder="1" applyAlignment="1" applyProtection="1">
      <alignment vertical="top"/>
    </xf>
    <xf numFmtId="167" fontId="43" fillId="0" borderId="7" xfId="0" applyNumberFormat="1" applyFont="1" applyBorder="1" applyAlignment="1" applyProtection="1">
      <alignment horizontal="right"/>
    </xf>
    <xf numFmtId="167" fontId="37" fillId="5" borderId="0" xfId="0" applyNumberFormat="1" applyFont="1" applyFill="1" applyBorder="1" applyAlignment="1" applyProtection="1">
      <alignment horizontal="right"/>
    </xf>
    <xf numFmtId="0" fontId="43" fillId="0" borderId="1" xfId="0" applyFont="1" applyBorder="1" applyAlignment="1">
      <alignment horizontal="center"/>
    </xf>
    <xf numFmtId="17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67" fontId="0" fillId="0" borderId="0" xfId="0" applyNumberFormat="1"/>
    <xf numFmtId="167" fontId="43" fillId="0" borderId="0" xfId="0" applyNumberFormat="1" applyFont="1" applyBorder="1" applyAlignment="1" applyProtection="1">
      <alignment horizontal="right"/>
    </xf>
    <xf numFmtId="0" fontId="46" fillId="0" borderId="0" xfId="0" applyFont="1" applyBorder="1" applyAlignment="1" applyProtection="1">
      <alignment horizontal="center"/>
    </xf>
    <xf numFmtId="167" fontId="37" fillId="0" borderId="1" xfId="0" applyNumberFormat="1" applyFont="1" applyBorder="1" applyAlignment="1" applyProtection="1">
      <alignment horizontal="right"/>
    </xf>
    <xf numFmtId="0" fontId="47" fillId="0" borderId="0" xfId="0" applyFont="1" applyAlignment="1">
      <alignment vertical="top"/>
    </xf>
    <xf numFmtId="167" fontId="0" fillId="0" borderId="1" xfId="0" applyNumberFormat="1" applyBorder="1"/>
    <xf numFmtId="167" fontId="0" fillId="0" borderId="7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protection locked="0"/>
    </xf>
    <xf numFmtId="0" fontId="20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/>
    </xf>
    <xf numFmtId="0" fontId="25" fillId="2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protection locked="0"/>
    </xf>
    <xf numFmtId="49" fontId="15" fillId="0" borderId="0" xfId="0" applyNumberFormat="1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165" fontId="48" fillId="0" borderId="0" xfId="1" applyNumberFormat="1" applyFont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center"/>
    </xf>
    <xf numFmtId="49" fontId="15" fillId="0" borderId="0" xfId="0" applyNumberFormat="1" applyFont="1" applyBorder="1" applyAlignment="1">
      <alignment horizontal="left"/>
    </xf>
    <xf numFmtId="173" fontId="15" fillId="0" borderId="0" xfId="0" applyNumberFormat="1" applyFont="1" applyBorder="1" applyAlignment="1">
      <alignment horizontal="left"/>
    </xf>
    <xf numFmtId="0" fontId="20" fillId="0" borderId="0" xfId="0" applyFont="1" applyBorder="1" applyProtection="1"/>
    <xf numFmtId="49" fontId="15" fillId="0" borderId="1" xfId="0" applyNumberFormat="1" applyFont="1" applyBorder="1"/>
    <xf numFmtId="0" fontId="20" fillId="0" borderId="1" xfId="0" applyFont="1" applyBorder="1" applyAlignment="1" applyProtection="1">
      <alignment horizontal="center"/>
    </xf>
    <xf numFmtId="0" fontId="20" fillId="0" borderId="1" xfId="0" applyFont="1" applyBorder="1" applyProtection="1"/>
    <xf numFmtId="0" fontId="1" fillId="0" borderId="1" xfId="0" applyFont="1" applyBorder="1" applyProtection="1"/>
    <xf numFmtId="166" fontId="2" fillId="0" borderId="1" xfId="0" applyNumberFormat="1" applyFont="1" applyBorder="1" applyAlignment="1" applyProtection="1">
      <alignment horizontal="center"/>
    </xf>
    <xf numFmtId="166" fontId="2" fillId="2" borderId="1" xfId="0" applyNumberFormat="1" applyFont="1" applyFill="1" applyBorder="1" applyProtection="1"/>
    <xf numFmtId="0" fontId="25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166" fontId="2" fillId="0" borderId="0" xfId="0" applyNumberFormat="1" applyFont="1" applyBorder="1" applyAlignment="1" applyProtection="1">
      <alignment horizontal="center"/>
    </xf>
    <xf numFmtId="166" fontId="2" fillId="2" borderId="0" xfId="0" applyNumberFormat="1" applyFont="1" applyFill="1" applyBorder="1" applyProtection="1"/>
    <xf numFmtId="0" fontId="20" fillId="0" borderId="0" xfId="0" applyFont="1" applyBorder="1" applyAlignment="1" applyProtection="1">
      <alignment vertical="top"/>
    </xf>
    <xf numFmtId="0" fontId="25" fillId="0" borderId="1" xfId="0" applyFont="1" applyBorder="1" applyAlignment="1" applyProtection="1">
      <alignment vertical="top"/>
    </xf>
    <xf numFmtId="174" fontId="25" fillId="0" borderId="1" xfId="0" applyNumberFormat="1" applyFont="1" applyBorder="1" applyAlignment="1" applyProtection="1">
      <alignment horizontal="center" vertical="top"/>
    </xf>
    <xf numFmtId="174" fontId="25" fillId="0" borderId="1" xfId="0" applyNumberFormat="1" applyFont="1" applyBorder="1" applyAlignment="1" applyProtection="1">
      <alignment horizontal="left" vertical="top"/>
    </xf>
    <xf numFmtId="0" fontId="20" fillId="0" borderId="9" xfId="0" applyFont="1" applyBorder="1" applyAlignment="1" applyProtection="1">
      <alignment vertical="top"/>
    </xf>
    <xf numFmtId="174" fontId="25" fillId="0" borderId="0" xfId="0" applyNumberFormat="1" applyFont="1" applyBorder="1" applyAlignment="1" applyProtection="1">
      <alignment horizontal="center" vertical="top"/>
    </xf>
    <xf numFmtId="174" fontId="25" fillId="2" borderId="0" xfId="0" applyNumberFormat="1" applyFont="1" applyFill="1" applyBorder="1" applyAlignment="1" applyProtection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0" fillId="0" borderId="0" xfId="0" applyFont="1" applyBorder="1" applyAlignment="1" applyProtection="1">
      <alignment horizontal="center" vertical="top"/>
    </xf>
    <xf numFmtId="0" fontId="25" fillId="0" borderId="0" xfId="0" applyFont="1" applyBorder="1" applyAlignment="1" applyProtection="1">
      <alignment horizontal="center" vertical="top"/>
    </xf>
    <xf numFmtId="175" fontId="25" fillId="0" borderId="6" xfId="0" applyNumberFormat="1" applyFont="1" applyBorder="1" applyAlignment="1" applyProtection="1">
      <alignment horizontal="center" vertical="top" wrapText="1"/>
    </xf>
    <xf numFmtId="0" fontId="25" fillId="0" borderId="2" xfId="0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0" fontId="49" fillId="0" borderId="6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 vertical="top"/>
    </xf>
    <xf numFmtId="0" fontId="25" fillId="0" borderId="6" xfId="0" applyFont="1" applyBorder="1" applyAlignment="1" applyProtection="1">
      <alignment horizontal="center" vertical="top" wrapText="1"/>
    </xf>
    <xf numFmtId="0" fontId="25" fillId="2" borderId="2" xfId="0" applyFont="1" applyFill="1" applyBorder="1" applyAlignment="1" applyProtection="1">
      <alignment horizontal="center"/>
    </xf>
    <xf numFmtId="0" fontId="25" fillId="2" borderId="6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5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vertical="top"/>
    </xf>
    <xf numFmtId="0" fontId="1" fillId="0" borderId="10" xfId="0" applyFont="1" applyBorder="1" applyAlignment="1" applyProtection="1">
      <alignment vertical="top"/>
    </xf>
    <xf numFmtId="0" fontId="1" fillId="0" borderId="9" xfId="0" applyFont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165" fontId="1" fillId="2" borderId="0" xfId="1" applyNumberFormat="1" applyFont="1" applyFill="1" applyBorder="1" applyAlignment="1" applyProtection="1">
      <alignment vertical="top"/>
    </xf>
    <xf numFmtId="0" fontId="1" fillId="0" borderId="0" xfId="0" applyFont="1" applyAlignment="1">
      <alignment horizontal="left" vertical="top"/>
    </xf>
    <xf numFmtId="167" fontId="1" fillId="0" borderId="0" xfId="1" applyNumberFormat="1" applyFont="1" applyBorder="1" applyAlignment="1" applyProtection="1">
      <alignment horizontal="center" vertical="top"/>
    </xf>
    <xf numFmtId="9" fontId="50" fillId="2" borderId="0" xfId="2" applyFont="1" applyFill="1" applyBorder="1" applyAlignment="1" applyProtection="1">
      <alignment horizontal="center" vertical="center"/>
    </xf>
    <xf numFmtId="165" fontId="1" fillId="0" borderId="10" xfId="1" applyNumberFormat="1" applyFont="1" applyBorder="1" applyAlignment="1" applyProtection="1">
      <alignment vertical="top"/>
    </xf>
    <xf numFmtId="165" fontId="1" fillId="0" borderId="9" xfId="1" applyNumberFormat="1" applyFont="1" applyBorder="1" applyAlignment="1" applyProtection="1">
      <alignment vertical="top"/>
    </xf>
    <xf numFmtId="9" fontId="50" fillId="6" borderId="0" xfId="2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>
      <alignment vertical="top"/>
    </xf>
    <xf numFmtId="9" fontId="1" fillId="2" borderId="0" xfId="2" applyFont="1" applyFill="1" applyBorder="1" applyAlignment="1" applyProtection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167" fontId="2" fillId="0" borderId="0" xfId="1" applyNumberFormat="1" applyFont="1" applyBorder="1" applyAlignment="1" applyProtection="1">
      <alignment horizontal="center" vertical="top"/>
    </xf>
    <xf numFmtId="167" fontId="1" fillId="0" borderId="0" xfId="1" applyNumberFormat="1" applyFont="1" applyBorder="1" applyAlignment="1" applyProtection="1">
      <alignment vertical="top"/>
    </xf>
    <xf numFmtId="167" fontId="1" fillId="2" borderId="0" xfId="0" applyNumberFormat="1" applyFont="1" applyFill="1" applyBorder="1" applyAlignment="1">
      <alignment vertical="top"/>
    </xf>
    <xf numFmtId="0" fontId="20" fillId="0" borderId="0" xfId="0" applyFont="1" applyAlignment="1">
      <alignment vertical="top"/>
    </xf>
    <xf numFmtId="167" fontId="2" fillId="2" borderId="6" xfId="1" applyNumberFormat="1" applyFont="1" applyFill="1" applyBorder="1" applyAlignment="1" applyProtection="1">
      <alignment vertical="top"/>
    </xf>
    <xf numFmtId="167" fontId="2" fillId="2" borderId="0" xfId="1" applyNumberFormat="1" applyFont="1" applyFill="1" applyBorder="1" applyAlignment="1" applyProtection="1">
      <alignment vertical="top"/>
    </xf>
    <xf numFmtId="0" fontId="51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167" fontId="51" fillId="2" borderId="0" xfId="1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top"/>
    </xf>
    <xf numFmtId="9" fontId="52" fillId="2" borderId="0" xfId="2" applyFont="1" applyFill="1" applyBorder="1" applyAlignment="1" applyProtection="1">
      <alignment horizontal="center" vertical="top"/>
    </xf>
    <xf numFmtId="165" fontId="2" fillId="0" borderId="10" xfId="1" applyNumberFormat="1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167" fontId="2" fillId="0" borderId="7" xfId="1" applyNumberFormat="1" applyFont="1" applyBorder="1" applyAlignment="1" applyProtection="1">
      <alignment vertical="top"/>
    </xf>
    <xf numFmtId="167" fontId="2" fillId="0" borderId="0" xfId="1" applyNumberFormat="1" applyFont="1" applyBorder="1" applyAlignment="1" applyProtection="1">
      <alignment vertical="top"/>
    </xf>
    <xf numFmtId="167" fontId="2" fillId="0" borderId="0" xfId="0" applyNumberFormat="1" applyFont="1" applyBorder="1" applyAlignment="1">
      <alignment horizontal="center" vertical="top"/>
    </xf>
    <xf numFmtId="167" fontId="2" fillId="2" borderId="7" xfId="0" applyNumberFormat="1" applyFont="1" applyFill="1" applyBorder="1" applyAlignment="1">
      <alignment vertical="top"/>
    </xf>
    <xf numFmtId="167" fontId="2" fillId="2" borderId="0" xfId="0" applyNumberFormat="1" applyFont="1" applyFill="1" applyBorder="1" applyAlignment="1">
      <alignment vertical="top"/>
    </xf>
    <xf numFmtId="165" fontId="1" fillId="0" borderId="0" xfId="1" applyNumberFormat="1" applyFont="1" applyBorder="1" applyAlignment="1" applyProtection="1">
      <alignment vertical="top"/>
    </xf>
    <xf numFmtId="167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vertical="top"/>
    </xf>
    <xf numFmtId="165" fontId="2" fillId="0" borderId="0" xfId="1" applyNumberFormat="1" applyFont="1" applyBorder="1" applyAlignment="1" applyProtection="1">
      <alignment vertical="top"/>
    </xf>
    <xf numFmtId="0" fontId="2" fillId="0" borderId="2" xfId="0" applyFont="1" applyBorder="1" applyAlignment="1">
      <alignment vertical="top"/>
    </xf>
    <xf numFmtId="167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vertical="top"/>
    </xf>
    <xf numFmtId="165" fontId="2" fillId="0" borderId="2" xfId="1" applyNumberFormat="1" applyFont="1" applyBorder="1" applyAlignment="1" applyProtection="1">
      <alignment vertical="top"/>
    </xf>
    <xf numFmtId="0" fontId="1" fillId="0" borderId="2" xfId="0" applyFont="1" applyBorder="1" applyAlignment="1">
      <alignment vertical="top"/>
    </xf>
    <xf numFmtId="167" fontId="1" fillId="2" borderId="2" xfId="0" applyNumberFormat="1" applyFont="1" applyFill="1" applyBorder="1" applyAlignment="1">
      <alignment vertical="top"/>
    </xf>
    <xf numFmtId="167" fontId="25" fillId="0" borderId="0" xfId="0" applyNumberFormat="1" applyFont="1" applyBorder="1" applyAlignment="1" applyProtection="1">
      <alignment horizontal="center" vertical="top"/>
    </xf>
    <xf numFmtId="167" fontId="25" fillId="0" borderId="0" xfId="0" applyNumberFormat="1" applyFont="1" applyBorder="1" applyAlignment="1" applyProtection="1">
      <alignment vertical="top"/>
    </xf>
    <xf numFmtId="0" fontId="31" fillId="0" borderId="0" xfId="0" applyFont="1" applyBorder="1" applyAlignment="1" applyProtection="1">
      <alignment vertical="top"/>
    </xf>
    <xf numFmtId="0" fontId="31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 wrapText="1"/>
    </xf>
    <xf numFmtId="0" fontId="5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 applyProtection="1">
      <alignment vertical="center"/>
    </xf>
    <xf numFmtId="167" fontId="20" fillId="0" borderId="0" xfId="0" applyNumberFormat="1" applyFont="1" applyBorder="1" applyAlignment="1" applyProtection="1">
      <alignment horizontal="center" vertical="top"/>
    </xf>
    <xf numFmtId="167" fontId="20" fillId="0" borderId="0" xfId="0" applyNumberFormat="1" applyFont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top"/>
      <protection locked="0"/>
    </xf>
    <xf numFmtId="167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167" fontId="53" fillId="2" borderId="0" xfId="0" applyNumberFormat="1" applyFont="1" applyFill="1" applyBorder="1" applyAlignment="1">
      <alignment vertical="top"/>
    </xf>
    <xf numFmtId="0" fontId="53" fillId="2" borderId="0" xfId="0" applyFont="1" applyFill="1" applyBorder="1" applyAlignment="1">
      <alignment vertical="top"/>
    </xf>
    <xf numFmtId="0" fontId="51" fillId="0" borderId="0" xfId="0" applyFont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1" fillId="0" borderId="0" xfId="0" applyFont="1" applyBorder="1"/>
    <xf numFmtId="0" fontId="53" fillId="0" borderId="0" xfId="0" applyFont="1" applyBorder="1" applyAlignment="1">
      <alignment horizontal="center"/>
    </xf>
    <xf numFmtId="0" fontId="53" fillId="2" borderId="0" xfId="0" applyFont="1" applyFill="1" applyBorder="1"/>
    <xf numFmtId="165" fontId="1" fillId="0" borderId="0" xfId="1" applyNumberFormat="1" applyFont="1" applyBorder="1" applyAlignment="1" applyProtection="1"/>
    <xf numFmtId="49" fontId="15" fillId="0" borderId="0" xfId="0" applyNumberFormat="1" applyFont="1" applyBorder="1" applyAlignment="1" applyProtection="1">
      <alignment horizontal="center"/>
    </xf>
    <xf numFmtId="49" fontId="12" fillId="0" borderId="0" xfId="0" applyNumberFormat="1" applyFont="1" applyBorder="1" applyProtection="1">
      <protection locked="0"/>
    </xf>
    <xf numFmtId="49" fontId="1" fillId="0" borderId="0" xfId="0" applyNumberFormat="1" applyFont="1" applyBorder="1"/>
    <xf numFmtId="49" fontId="17" fillId="0" borderId="0" xfId="0" applyNumberFormat="1" applyFont="1" applyBorder="1" applyAlignment="1" applyProtection="1">
      <alignment horizontal="center"/>
    </xf>
    <xf numFmtId="49" fontId="51" fillId="0" borderId="1" xfId="0" applyNumberFormat="1" applyFont="1" applyBorder="1" applyAlignment="1" applyProtection="1">
      <protection locked="0"/>
    </xf>
    <xf numFmtId="49" fontId="56" fillId="2" borderId="1" xfId="0" applyNumberFormat="1" applyFont="1" applyFill="1" applyBorder="1" applyProtection="1">
      <protection locked="0"/>
    </xf>
    <xf numFmtId="49" fontId="1" fillId="0" borderId="0" xfId="1" applyNumberFormat="1" applyFont="1" applyBorder="1" applyAlignment="1" applyProtection="1"/>
    <xf numFmtId="0" fontId="20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49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 wrapText="1"/>
    </xf>
    <xf numFmtId="165" fontId="1" fillId="0" borderId="0" xfId="1" applyNumberFormat="1" applyFont="1" applyBorder="1" applyAlignment="1" applyProtection="1">
      <alignment horizontal="center" wrapText="1"/>
    </xf>
    <xf numFmtId="0" fontId="20" fillId="0" borderId="0" xfId="0" applyFont="1"/>
    <xf numFmtId="167" fontId="1" fillId="0" borderId="0" xfId="0" applyNumberFormat="1" applyFont="1" applyBorder="1"/>
    <xf numFmtId="0" fontId="2" fillId="0" borderId="0" xfId="0" applyFont="1" applyBorder="1" applyProtection="1"/>
    <xf numFmtId="167" fontId="2" fillId="2" borderId="0" xfId="1" applyNumberFormat="1" applyFont="1" applyFill="1" applyBorder="1" applyAlignment="1" applyProtection="1"/>
    <xf numFmtId="167" fontId="50" fillId="2" borderId="0" xfId="1" applyNumberFormat="1" applyFont="1" applyFill="1" applyBorder="1" applyAlignment="1" applyProtection="1">
      <alignment horizontal="center" vertical="center"/>
    </xf>
    <xf numFmtId="167" fontId="2" fillId="2" borderId="6" xfId="1" applyNumberFormat="1" applyFont="1" applyFill="1" applyBorder="1" applyAlignment="1" applyProtection="1"/>
    <xf numFmtId="0" fontId="57" fillId="0" borderId="0" xfId="0" applyFont="1" applyBorder="1" applyProtection="1"/>
    <xf numFmtId="167" fontId="50" fillId="6" borderId="0" xfId="1" applyNumberFormat="1" applyFont="1" applyFill="1" applyBorder="1" applyAlignment="1" applyProtection="1">
      <alignment horizontal="center" vertical="center"/>
    </xf>
    <xf numFmtId="164" fontId="1" fillId="2" borderId="0" xfId="1" applyFont="1" applyFill="1" applyBorder="1" applyAlignment="1" applyProtection="1">
      <alignment horizontal="right"/>
    </xf>
    <xf numFmtId="176" fontId="1" fillId="2" borderId="0" xfId="1" applyNumberFormat="1" applyFont="1" applyFill="1" applyBorder="1" applyAlignment="1" applyProtection="1">
      <alignment horizontal="right"/>
    </xf>
    <xf numFmtId="167" fontId="1" fillId="0" borderId="0" xfId="0" applyNumberFormat="1" applyFont="1" applyBorder="1" applyAlignment="1" applyProtection="1"/>
    <xf numFmtId="0" fontId="25" fillId="0" borderId="0" xfId="0" applyFont="1"/>
    <xf numFmtId="167" fontId="2" fillId="2" borderId="0" xfId="0" applyNumberFormat="1" applyFont="1" applyFill="1" applyBorder="1" applyAlignment="1" applyProtection="1"/>
    <xf numFmtId="167" fontId="25" fillId="0" borderId="0" xfId="0" applyNumberFormat="1" applyFont="1" applyBorder="1" applyAlignment="1" applyProtection="1"/>
    <xf numFmtId="167" fontId="20" fillId="0" borderId="0" xfId="1" applyNumberFormat="1" applyFont="1" applyBorder="1" applyAlignment="1" applyProtection="1"/>
    <xf numFmtId="167" fontId="2" fillId="2" borderId="7" xfId="1" applyNumberFormat="1" applyFont="1" applyFill="1" applyBorder="1" applyAlignment="1" applyProtection="1"/>
    <xf numFmtId="165" fontId="1" fillId="2" borderId="0" xfId="1" applyNumberFormat="1" applyFont="1" applyFill="1" applyBorder="1" applyAlignment="1" applyProtection="1">
      <alignment horizontal="center"/>
    </xf>
    <xf numFmtId="167" fontId="2" fillId="2" borderId="0" xfId="1" applyNumberFormat="1" applyFont="1" applyFill="1" applyBorder="1" applyAlignment="1" applyProtection="1">
      <alignment horizontal="center"/>
    </xf>
    <xf numFmtId="167" fontId="20" fillId="2" borderId="0" xfId="1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0" fontId="2" fillId="0" borderId="2" xfId="0" applyFont="1" applyBorder="1"/>
    <xf numFmtId="165" fontId="20" fillId="2" borderId="2" xfId="1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/>
    <xf numFmtId="165" fontId="1" fillId="2" borderId="2" xfId="1" applyNumberFormat="1" applyFont="1" applyFill="1" applyBorder="1" applyAlignment="1" applyProtection="1"/>
    <xf numFmtId="165" fontId="20" fillId="2" borderId="0" xfId="1" applyNumberFormat="1" applyFont="1" applyFill="1" applyBorder="1" applyAlignment="1" applyProtection="1">
      <alignment horizontal="right"/>
      <protection locked="0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206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1399680</xdr:colOff>
      <xdr:row>43</xdr:row>
      <xdr:rowOff>628200</xdr:rowOff>
    </xdr:to>
    <xdr:sp macro="" textlink="">
      <xdr:nvSpPr>
        <xdr:cNvPr id="2" name="CustomShape 1" hidden="1"/>
        <xdr:cNvSpPr/>
      </xdr:nvSpPr>
      <xdr:spPr>
        <a:xfrm>
          <a:off x="0" y="0"/>
          <a:ext cx="919224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1400175</xdr:colOff>
      <xdr:row>43</xdr:row>
      <xdr:rowOff>628650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380520</xdr:colOff>
      <xdr:row>45</xdr:row>
      <xdr:rowOff>56880</xdr:rowOff>
    </xdr:to>
    <xdr:sp macro="" textlink="">
      <xdr:nvSpPr>
        <xdr:cNvPr id="2" name="CustomShape 1" hidden="1"/>
        <xdr:cNvSpPr/>
      </xdr:nvSpPr>
      <xdr:spPr>
        <a:xfrm>
          <a:off x="0" y="0"/>
          <a:ext cx="914976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381000</xdr:colOff>
      <xdr:row>45</xdr:row>
      <xdr:rowOff>57150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://DCI2_Div_Logistica/LOG.COMERCIAL/CONTROLE/Comp/Julho%202001/31.07.2001/31.07.2001%20-%20%20COM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://WINDOWS/TEMP/FATUR&amp;DEBT_P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S~1.ALM/AppData/Local/Temp/orlan/AppData/Local/Microsoft/Windows/INetCache/Content.Outlook/3DWOWBF5/compartilhad/Relatorios/Relat&#243;rio%20de%20Gest&#227;o/Rel%20Gest&#227;o%20-%20ago00/Respostas/FATUR&amp;DEBT_P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S~1.ALM/AppData/Local/Temp/orlan/AppData/Local/Microsoft/Windows/INetCache/Content.Outlook/3DWOWBF5/relatorio/backup1/Relat-JAN-2000-GER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://DOCUME~1/RLIMAC~1.000/CONFIG~1/Temp/Diret&#243;rio%20tempor&#225;rio%202%20para%20TRIAL%20BALANCE%20CONSOLIDADO%20SETEMBRO%202005.zip/TRIAL%20BALANCE%20CONSOLIDADO%20SETEMBRO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S~1.ALM/AppData/Local/Temp/orlan/AppData/Local/Microsoft/Windows/INetCache/Content.Outlook/3DWOWBF5/WORK/Documents/Business%20Models/Canbras%20model%202002/Business%20Models/Canbras%20model%202002/Bra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AS "/>
      <sheetName val="CLIENTES "/>
      <sheetName val="EMPRESAS "/>
      <sheetName val="DEFEITO"/>
      <sheetName val="PROGRAMA DE PONTOS"/>
      <sheetName val="RECONDICIONADOS"/>
      <sheetName val="TOTAL  "/>
      <sheetName val="BATR"/>
      <sheetName val="BAPV"/>
      <sheetName val="BADF"/>
      <sheetName val="BAAL"/>
      <sheetName val="BACL"/>
      <sheetName val="Módulo1"/>
      <sheetName val="Módulo2"/>
      <sheetName val="Plan1"/>
      <sheetName val="tabela de parâmetros"/>
      <sheetName val="pl atual"/>
      <sheetName val="Ativo e Pass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ESUMO ER"/>
      <sheetName val="DEMONSTRATIVO"/>
      <sheetName val="CODIGO-K"/>
      <sheetName val="TIP"/>
      <sheetName val="DADOS-CA"/>
      <sheetName val="DADOS-DIV"/>
      <sheetName val="Plan1"/>
      <sheetName val="pl atual"/>
      <sheetName val="Cover"/>
      <sheetName val="C5Reco"/>
      <sheetName val="Lead"/>
      <sheetName val="FORNECEDORES"/>
      <sheetName val="Statements"/>
      <sheetName val="Debt"/>
      <sheetName val="Taxas"/>
      <sheetName val="links"/>
      <sheetName val="CALC-RESUMO"/>
      <sheetName val="ativo e pass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ESUMO ER"/>
      <sheetName val="DEMONSTRATIVO"/>
      <sheetName val="CODIGO-K"/>
      <sheetName val="TIP"/>
      <sheetName val="DADOS-CA"/>
      <sheetName val="DADOS-DIV"/>
      <sheetName val="Plan1"/>
      <sheetName val="pl atual"/>
      <sheetName val="NIFE-SIST"/>
      <sheetName val="Assump"/>
      <sheetName val="Tabela de parâmetro"/>
      <sheetName val="Lead"/>
      <sheetName val="TAB_DATA"/>
      <sheetName val="Taxas"/>
      <sheetName val="Variables"/>
      <sheetName val="CALC-RESUMO"/>
      <sheetName val="ativo e pass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ÇÃO"/>
      <sheetName val="FLUXOGRAMA"/>
      <sheetName val="PLANILHA OUTUBRO"/>
      <sheetName val="QUANTIDADE DE CHAMADAS"/>
      <sheetName val="CALC-RESUMO"/>
      <sheetName val="TEMPOS MÉDIOS "/>
      <sheetName val="CHAMADAS POR INTERVALO"/>
      <sheetName val="CSE-SOLICITAÇÕES CELPE"/>
      <sheetName val="CSE-SOLICITAÇÕES CGTL"/>
      <sheetName val="COD-SOLICITAÇÕES TÉCNICAS"/>
      <sheetName val="SERVIÇOS EXECUTADOS PELA CGTL"/>
      <sheetName val="HISTÓRICO DE CHAMADAS"/>
      <sheetName val="RESUMO ANEEL"/>
      <sheetName val="AGENTE CREDENCIADO"/>
      <sheetName val="CALC_RESUMO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lead"/>
      <sheetName val="Versao 1b ($=R$2,13)"/>
      <sheetName val="Taxas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tivo e Passivo"/>
      <sheetName val="JANEIRO"/>
      <sheetName val="ativo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ranco"/>
      <sheetName val="#REF"/>
      <sheetName val="Profit &amp; Loss"/>
      <sheetName val="Balance 01"/>
      <sheetName val="bal0697"/>
      <sheetName val="Matriz"/>
      <sheetName val="Welcome"/>
      <sheetName val="0196"/>
      <sheetName val="0296"/>
      <sheetName val="1196"/>
      <sheetName val="Balancete0197"/>
      <sheetName val="ALMOX ÓPTICO"/>
      <sheetName val="Canbras TVA"/>
      <sheetName val="paraná"/>
      <sheetName val="pl atual"/>
      <sheetName val="summary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161"/>
  <sheetViews>
    <sheetView showGridLines="0" tabSelected="1" topLeftCell="A39" zoomScale="120" zoomScaleNormal="120" workbookViewId="0">
      <selection activeCell="E43" sqref="E43"/>
    </sheetView>
  </sheetViews>
  <sheetFormatPr defaultRowHeight="16.5" outlineLevelRow="1"/>
  <cols>
    <col min="1" max="1" width="1.5" style="6" customWidth="1"/>
    <col min="2" max="2" width="2.375" style="6" customWidth="1"/>
    <col min="3" max="3" width="3" style="6" customWidth="1"/>
    <col min="4" max="4" width="2.75" style="6" customWidth="1"/>
    <col min="5" max="5" width="23.25" style="7" customWidth="1"/>
    <col min="6" max="6" width="19" style="7" customWidth="1"/>
    <col min="7" max="7" width="1" style="7" customWidth="1"/>
    <col min="8" max="8" width="20.125" style="7" customWidth="1"/>
    <col min="9" max="9" width="0.75" style="7" customWidth="1"/>
    <col min="10" max="10" width="9" style="8" customWidth="1"/>
    <col min="11" max="11" width="0.75" style="7" customWidth="1"/>
    <col min="12" max="12" width="18.5" style="6" customWidth="1"/>
    <col min="13" max="13" width="1.5" style="6" customWidth="1"/>
    <col min="14" max="14" width="9.875" style="6" customWidth="1"/>
    <col min="15" max="15" width="17" style="6" customWidth="1"/>
    <col min="16" max="16" width="10.125" style="6" customWidth="1"/>
    <col min="17" max="17" width="11.5" style="9"/>
    <col min="18" max="18" width="12.75" style="6" customWidth="1"/>
    <col min="19" max="261" width="9" style="6" customWidth="1"/>
    <col min="262" max="262" width="1.5" style="6" customWidth="1"/>
    <col min="263" max="263" width="48.75" style="6" customWidth="1"/>
    <col min="264" max="264" width="11.375" style="6" customWidth="1"/>
    <col min="265" max="265" width="1.5" style="6" customWidth="1"/>
    <col min="266" max="266" width="13.75" style="6" customWidth="1"/>
    <col min="267" max="267" width="2.375" style="6" customWidth="1"/>
    <col min="268" max="268" width="13.75" style="6" customWidth="1"/>
    <col min="269" max="269" width="1.5" style="6" customWidth="1"/>
    <col min="270" max="270" width="9.875" style="6" customWidth="1"/>
    <col min="271" max="271" width="9.5" style="6" customWidth="1"/>
    <col min="272" max="272" width="9" style="6" customWidth="1"/>
    <col min="273" max="273" width="11.5" style="6"/>
    <col min="274" max="517" width="9" style="6" customWidth="1"/>
    <col min="518" max="518" width="1.5" style="6" customWidth="1"/>
    <col min="519" max="519" width="48.75" style="6" customWidth="1"/>
    <col min="520" max="520" width="11.375" style="6" customWidth="1"/>
    <col min="521" max="521" width="1.5" style="6" customWidth="1"/>
    <col min="522" max="522" width="13.75" style="6" customWidth="1"/>
    <col min="523" max="523" width="2.375" style="6" customWidth="1"/>
    <col min="524" max="524" width="13.75" style="6" customWidth="1"/>
    <col min="525" max="525" width="1.5" style="6" customWidth="1"/>
    <col min="526" max="526" width="9.875" style="6" customWidth="1"/>
    <col min="527" max="527" width="9.5" style="6" customWidth="1"/>
    <col min="528" max="528" width="9" style="6" customWidth="1"/>
    <col min="529" max="529" width="11.5" style="6"/>
    <col min="530" max="773" width="9" style="6" customWidth="1"/>
    <col min="774" max="774" width="1.5" style="6" customWidth="1"/>
    <col min="775" max="775" width="48.75" style="6" customWidth="1"/>
    <col min="776" max="776" width="11.375" style="6" customWidth="1"/>
    <col min="777" max="777" width="1.5" style="6" customWidth="1"/>
    <col min="778" max="778" width="13.75" style="6" customWidth="1"/>
    <col min="779" max="779" width="2.375" style="6" customWidth="1"/>
    <col min="780" max="780" width="13.75" style="6" customWidth="1"/>
    <col min="781" max="781" width="1.5" style="6" customWidth="1"/>
    <col min="782" max="782" width="9.875" style="6" customWidth="1"/>
    <col min="783" max="783" width="9.5" style="6" customWidth="1"/>
    <col min="784" max="784" width="9" style="6" customWidth="1"/>
    <col min="785" max="785" width="11.5" style="6"/>
    <col min="786" max="1025" width="9" style="6" customWidth="1"/>
  </cols>
  <sheetData>
    <row r="1" spans="1:20" s="17" customFormat="1" ht="23.25">
      <c r="A1" s="10"/>
      <c r="B1" s="11" t="s">
        <v>0</v>
      </c>
      <c r="C1" s="12"/>
      <c r="D1" s="13"/>
      <c r="E1" s="14"/>
      <c r="F1" s="14"/>
      <c r="G1" s="14"/>
      <c r="H1" s="14"/>
      <c r="I1" s="14"/>
      <c r="J1" s="15"/>
      <c r="K1" s="14"/>
      <c r="L1" s="16"/>
      <c r="Q1" s="18"/>
    </row>
    <row r="2" spans="1:20" ht="16.5" customHeight="1">
      <c r="A2" s="19"/>
      <c r="B2" s="13"/>
      <c r="C2" s="13"/>
      <c r="D2" s="13"/>
      <c r="E2" s="20"/>
      <c r="F2" s="20"/>
      <c r="G2" s="20"/>
      <c r="H2" s="20"/>
      <c r="I2" s="20"/>
      <c r="J2" s="21"/>
      <c r="K2" s="20"/>
      <c r="L2" s="22"/>
    </row>
    <row r="3" spans="1:20" s="23" customFormat="1" ht="18.75" customHeight="1">
      <c r="B3" s="24" t="s">
        <v>1</v>
      </c>
      <c r="C3" s="25"/>
      <c r="D3" s="25"/>
      <c r="E3" s="12"/>
      <c r="F3" s="12"/>
      <c r="G3" s="12"/>
      <c r="H3" s="12"/>
      <c r="I3" s="12"/>
      <c r="J3" s="26"/>
      <c r="K3" s="12"/>
      <c r="L3" s="12"/>
    </row>
    <row r="4" spans="1:20" s="32" customFormat="1" ht="18.75" customHeight="1">
      <c r="A4" s="27"/>
      <c r="B4" s="28" t="s">
        <v>2</v>
      </c>
      <c r="C4" s="29"/>
      <c r="D4" s="29"/>
      <c r="E4" s="29"/>
      <c r="F4" s="29"/>
      <c r="G4" s="29"/>
      <c r="H4" s="29"/>
      <c r="I4" s="29"/>
      <c r="J4" s="30"/>
      <c r="K4" s="29"/>
      <c r="L4" s="29"/>
      <c r="M4" s="31"/>
      <c r="N4" s="31"/>
      <c r="O4" s="31"/>
      <c r="P4" s="31"/>
      <c r="Q4" s="31"/>
      <c r="R4" s="31"/>
      <c r="S4" s="31"/>
      <c r="T4" s="31"/>
    </row>
    <row r="5" spans="1:20" s="32" customFormat="1" ht="18" customHeight="1">
      <c r="A5" s="33"/>
      <c r="B5" s="34" t="s">
        <v>3</v>
      </c>
      <c r="C5" s="35"/>
      <c r="D5" s="36"/>
      <c r="E5" s="37"/>
      <c r="F5" s="37"/>
      <c r="G5" s="38"/>
      <c r="H5" s="37"/>
      <c r="I5" s="38"/>
      <c r="J5" s="39"/>
      <c r="K5" s="38"/>
      <c r="L5" s="37"/>
      <c r="Q5" s="40"/>
    </row>
    <row r="6" spans="1:20" ht="15" customHeight="1">
      <c r="A6" s="41"/>
      <c r="B6" s="42"/>
      <c r="C6" s="42"/>
      <c r="D6" s="42"/>
      <c r="E6" s="43"/>
      <c r="F6" s="43"/>
      <c r="G6" s="43"/>
      <c r="H6" s="43"/>
      <c r="I6" s="43"/>
      <c r="J6" s="44"/>
      <c r="K6" s="43"/>
      <c r="L6" s="45"/>
      <c r="N6" s="6" t="s">
        <v>4</v>
      </c>
    </row>
    <row r="7" spans="1:20" s="48" customFormat="1" ht="15.75">
      <c r="A7" s="46"/>
      <c r="B7" s="47"/>
      <c r="C7" s="47"/>
      <c r="D7" s="47"/>
      <c r="F7" s="47"/>
      <c r="G7" s="47"/>
      <c r="H7" s="49">
        <v>2020</v>
      </c>
      <c r="I7" s="47"/>
      <c r="J7" s="50" t="s">
        <v>5</v>
      </c>
      <c r="K7" s="47"/>
      <c r="L7" s="49" t="s">
        <v>6</v>
      </c>
      <c r="Q7" s="51"/>
    </row>
    <row r="8" spans="1:20" outlineLevel="1">
      <c r="A8" s="52"/>
      <c r="B8" s="53" t="s">
        <v>7</v>
      </c>
      <c r="C8" s="53"/>
      <c r="D8" s="53"/>
      <c r="E8" s="54"/>
      <c r="F8" s="54"/>
      <c r="G8" s="54"/>
      <c r="H8" s="55">
        <f>H9+H11+H18+H26+SUM(H39:H55)</f>
        <v>88309000</v>
      </c>
      <c r="I8" s="54"/>
      <c r="J8" s="56">
        <v>1</v>
      </c>
      <c r="K8" s="54"/>
      <c r="L8" s="55">
        <f>L9+L11+L18+L26+SUM(L39:L55)</f>
        <v>7359083.333333334</v>
      </c>
      <c r="O8" s="57"/>
      <c r="P8" s="58"/>
    </row>
    <row r="9" spans="1:20" outlineLevel="1">
      <c r="A9" s="52"/>
      <c r="C9" s="59" t="s">
        <v>8</v>
      </c>
      <c r="D9" s="59"/>
      <c r="E9" s="60"/>
      <c r="F9" s="60"/>
      <c r="G9" s="61"/>
      <c r="H9" s="62">
        <v>12600000</v>
      </c>
      <c r="I9" s="61"/>
      <c r="J9" s="63">
        <f>H9/$H$8</f>
        <v>0.14268081396007201</v>
      </c>
      <c r="K9" s="61"/>
      <c r="L9" s="64">
        <f>H9/12</f>
        <v>1050000</v>
      </c>
      <c r="N9" s="65">
        <v>0.3</v>
      </c>
      <c r="O9" s="66"/>
      <c r="P9" s="58"/>
    </row>
    <row r="10" spans="1:20" outlineLevel="1">
      <c r="A10" s="52"/>
      <c r="C10" s="67"/>
      <c r="D10" s="67"/>
      <c r="E10" s="61"/>
      <c r="F10" s="61"/>
      <c r="G10" s="61"/>
      <c r="H10" s="68"/>
      <c r="I10" s="61"/>
      <c r="J10" s="69"/>
      <c r="K10" s="61"/>
      <c r="L10" s="70"/>
      <c r="O10" s="66"/>
      <c r="P10" s="58"/>
    </row>
    <row r="11" spans="1:20" outlineLevel="1">
      <c r="A11" s="52"/>
      <c r="C11" s="59" t="s">
        <v>9</v>
      </c>
      <c r="D11" s="59"/>
      <c r="E11" s="60"/>
      <c r="F11" s="60"/>
      <c r="G11" s="61"/>
      <c r="H11" s="71">
        <f>SUM(H12:H16)</f>
        <v>5652000</v>
      </c>
      <c r="I11" s="61"/>
      <c r="J11" s="63">
        <f t="shared" ref="J11:J16" si="0">H11/$H$8</f>
        <v>6.4002536547803732E-2</v>
      </c>
      <c r="K11" s="61"/>
      <c r="L11" s="71">
        <f>SUM(L12:L16)</f>
        <v>471000</v>
      </c>
      <c r="O11" s="66"/>
      <c r="P11" s="58"/>
    </row>
    <row r="12" spans="1:20" outlineLevel="1">
      <c r="A12" s="52"/>
      <c r="C12" s="72"/>
      <c r="D12" s="73" t="s">
        <v>10</v>
      </c>
      <c r="E12" s="74"/>
      <c r="F12" s="74"/>
      <c r="G12" s="61"/>
      <c r="H12" s="75">
        <v>1134000</v>
      </c>
      <c r="I12" s="61"/>
      <c r="J12" s="63">
        <f t="shared" si="0"/>
        <v>1.2841273256406481E-2</v>
      </c>
      <c r="K12" s="61"/>
      <c r="L12" s="76">
        <f>H12/12</f>
        <v>94500</v>
      </c>
      <c r="N12" s="65">
        <v>0.3</v>
      </c>
      <c r="O12" s="66"/>
      <c r="P12" s="58"/>
    </row>
    <row r="13" spans="1:20" outlineLevel="1">
      <c r="A13" s="52"/>
      <c r="C13" s="72"/>
      <c r="D13" s="77" t="s">
        <v>11</v>
      </c>
      <c r="E13" s="60"/>
      <c r="F13" s="60"/>
      <c r="G13" s="61"/>
      <c r="H13" s="78">
        <v>423000</v>
      </c>
      <c r="I13" s="61"/>
      <c r="J13" s="63">
        <f t="shared" si="0"/>
        <v>4.7899987543738465E-3</v>
      </c>
      <c r="K13" s="61"/>
      <c r="L13" s="76">
        <f>H13/12</f>
        <v>35250</v>
      </c>
      <c r="N13" s="65">
        <v>0.7</v>
      </c>
      <c r="O13" s="66"/>
      <c r="P13" s="58"/>
    </row>
    <row r="14" spans="1:20" outlineLevel="1">
      <c r="A14" s="52"/>
      <c r="C14" s="72"/>
      <c r="D14" s="79" t="s">
        <v>12</v>
      </c>
      <c r="E14" s="61"/>
      <c r="F14" s="61"/>
      <c r="G14" s="61"/>
      <c r="H14" s="80">
        <v>320000</v>
      </c>
      <c r="I14" s="61"/>
      <c r="J14" s="63">
        <f t="shared" si="0"/>
        <v>3.6236397196208769E-3</v>
      </c>
      <c r="K14" s="61"/>
      <c r="L14" s="76">
        <f>H14/12</f>
        <v>26666.666666666668</v>
      </c>
      <c r="N14" s="65">
        <v>0.2</v>
      </c>
      <c r="O14" s="66"/>
      <c r="P14" s="58"/>
    </row>
    <row r="15" spans="1:20" outlineLevel="1">
      <c r="A15" s="52"/>
      <c r="C15" s="72"/>
      <c r="D15" s="73" t="s">
        <v>13</v>
      </c>
      <c r="E15" s="74"/>
      <c r="F15" s="74"/>
      <c r="G15" s="61"/>
      <c r="H15" s="81">
        <v>2375000</v>
      </c>
      <c r="I15" s="61"/>
      <c r="J15" s="63">
        <f t="shared" si="0"/>
        <v>2.6894201044061195E-2</v>
      </c>
      <c r="K15" s="61"/>
      <c r="L15" s="76">
        <f>H15/12</f>
        <v>197916.66666666666</v>
      </c>
      <c r="N15" s="65">
        <v>0.75</v>
      </c>
      <c r="O15" s="66"/>
      <c r="P15" s="58"/>
    </row>
    <row r="16" spans="1:20" outlineLevel="1">
      <c r="A16" s="52"/>
      <c r="C16" s="72"/>
      <c r="D16" s="73" t="s">
        <v>14</v>
      </c>
      <c r="E16" s="74"/>
      <c r="F16" s="74"/>
      <c r="G16" s="61"/>
      <c r="H16" s="82">
        <v>1400000</v>
      </c>
      <c r="I16" s="61"/>
      <c r="J16" s="63">
        <f t="shared" si="0"/>
        <v>1.5853423773341334E-2</v>
      </c>
      <c r="K16" s="61"/>
      <c r="L16" s="76">
        <f>H16/12</f>
        <v>116666.66666666667</v>
      </c>
      <c r="O16" s="66"/>
      <c r="P16" s="58"/>
    </row>
    <row r="17" spans="1:16" outlineLevel="1">
      <c r="A17" s="52"/>
      <c r="C17" s="67"/>
      <c r="D17" s="67"/>
      <c r="E17" s="61"/>
      <c r="F17" s="61"/>
      <c r="G17" s="61"/>
      <c r="H17" s="68"/>
      <c r="I17" s="61"/>
      <c r="J17" s="69"/>
      <c r="K17" s="61"/>
      <c r="L17" s="70"/>
      <c r="O17" s="66"/>
      <c r="P17" s="58"/>
    </row>
    <row r="18" spans="1:16" outlineLevel="1">
      <c r="A18" s="52"/>
      <c r="C18" s="59" t="s">
        <v>15</v>
      </c>
      <c r="D18" s="59"/>
      <c r="E18" s="60"/>
      <c r="F18" s="60"/>
      <c r="G18" s="61"/>
      <c r="H18" s="83">
        <f>SUM(H19:H24)</f>
        <v>42346000</v>
      </c>
      <c r="I18" s="61"/>
      <c r="J18" s="63">
        <f t="shared" ref="J18:J24" si="1">H18/$H$8</f>
        <v>0.47952077364708012</v>
      </c>
      <c r="K18" s="61"/>
      <c r="L18" s="83">
        <f>SUM(L19:L24)</f>
        <v>3528833.3333333335</v>
      </c>
      <c r="O18" s="66"/>
      <c r="P18" s="58"/>
    </row>
    <row r="19" spans="1:16" outlineLevel="1">
      <c r="A19" s="52"/>
      <c r="C19" s="79"/>
      <c r="D19" s="73" t="s">
        <v>10</v>
      </c>
      <c r="E19" s="74"/>
      <c r="F19" s="74"/>
      <c r="G19" s="61"/>
      <c r="H19" s="82">
        <v>600000</v>
      </c>
      <c r="I19" s="61"/>
      <c r="J19" s="63">
        <f t="shared" si="1"/>
        <v>6.7943244742891436E-3</v>
      </c>
      <c r="K19" s="61"/>
      <c r="L19" s="76">
        <f t="shared" ref="L19:L24" si="2">H19/12</f>
        <v>50000</v>
      </c>
      <c r="O19" s="66"/>
      <c r="P19" s="58"/>
    </row>
    <row r="20" spans="1:16" outlineLevel="1">
      <c r="A20" s="52"/>
      <c r="C20" s="79"/>
      <c r="D20" s="77" t="s">
        <v>11</v>
      </c>
      <c r="E20" s="60"/>
      <c r="F20" s="60"/>
      <c r="G20" s="61"/>
      <c r="H20" s="71">
        <v>2400000</v>
      </c>
      <c r="I20" s="61"/>
      <c r="J20" s="63">
        <f t="shared" si="1"/>
        <v>2.7177297897156574E-2</v>
      </c>
      <c r="K20" s="61"/>
      <c r="L20" s="76">
        <f t="shared" si="2"/>
        <v>200000</v>
      </c>
      <c r="O20" s="66"/>
      <c r="P20" s="58"/>
    </row>
    <row r="21" spans="1:16" outlineLevel="1">
      <c r="A21" s="52"/>
      <c r="C21" s="79"/>
      <c r="D21" s="79" t="s">
        <v>12</v>
      </c>
      <c r="E21" s="61"/>
      <c r="F21" s="61"/>
      <c r="G21" s="61"/>
      <c r="H21" s="84">
        <v>2580000</v>
      </c>
      <c r="I21" s="61"/>
      <c r="J21" s="63">
        <f t="shared" si="1"/>
        <v>2.921559523944332E-2</v>
      </c>
      <c r="K21" s="61"/>
      <c r="L21" s="76">
        <f t="shared" si="2"/>
        <v>215000</v>
      </c>
      <c r="O21" s="66"/>
      <c r="P21" s="58"/>
    </row>
    <row r="22" spans="1:16" outlineLevel="1">
      <c r="A22" s="52"/>
      <c r="C22" s="79"/>
      <c r="D22" s="73" t="s">
        <v>13</v>
      </c>
      <c r="E22" s="74"/>
      <c r="F22" s="74"/>
      <c r="G22" s="61"/>
      <c r="H22" s="81">
        <v>29136000</v>
      </c>
      <c r="I22" s="85"/>
      <c r="J22" s="86">
        <f t="shared" si="1"/>
        <v>0.32993239647148082</v>
      </c>
      <c r="K22" s="85"/>
      <c r="L22" s="87">
        <f t="shared" si="2"/>
        <v>2428000</v>
      </c>
      <c r="N22" s="65">
        <v>0.17</v>
      </c>
      <c r="O22" s="66"/>
      <c r="P22" s="58"/>
    </row>
    <row r="23" spans="1:16" outlineLevel="1">
      <c r="A23" s="52"/>
      <c r="C23" s="79"/>
      <c r="D23" s="73" t="s">
        <v>16</v>
      </c>
      <c r="E23" s="74"/>
      <c r="F23" s="74"/>
      <c r="G23" s="61"/>
      <c r="H23" s="81">
        <v>6430000</v>
      </c>
      <c r="I23" s="85"/>
      <c r="J23" s="86">
        <f t="shared" si="1"/>
        <v>7.281251061613199E-2</v>
      </c>
      <c r="K23" s="85"/>
      <c r="L23" s="87">
        <f t="shared" si="2"/>
        <v>535833.33333333337</v>
      </c>
      <c r="N23" s="65"/>
      <c r="O23" s="66"/>
      <c r="P23" s="58"/>
    </row>
    <row r="24" spans="1:16" outlineLevel="1">
      <c r="A24" s="52"/>
      <c r="C24" s="79"/>
      <c r="D24" s="73" t="s">
        <v>14</v>
      </c>
      <c r="E24" s="74"/>
      <c r="F24" s="74"/>
      <c r="G24" s="61"/>
      <c r="H24" s="82">
        <v>1200000</v>
      </c>
      <c r="I24" s="61"/>
      <c r="J24" s="63">
        <f t="shared" si="1"/>
        <v>1.3588648948578287E-2</v>
      </c>
      <c r="K24" s="61"/>
      <c r="L24" s="76">
        <f t="shared" si="2"/>
        <v>100000</v>
      </c>
      <c r="O24" s="66"/>
      <c r="P24" s="58"/>
    </row>
    <row r="25" spans="1:16" outlineLevel="1">
      <c r="A25" s="52"/>
      <c r="C25" s="79"/>
      <c r="D25" s="79"/>
      <c r="E25" s="61"/>
      <c r="F25" s="61"/>
      <c r="G25" s="61"/>
      <c r="H25" s="68"/>
      <c r="I25" s="61"/>
      <c r="J25" s="69"/>
      <c r="K25" s="61"/>
      <c r="L25" s="70"/>
      <c r="O25" s="66"/>
      <c r="P25" s="58"/>
    </row>
    <row r="26" spans="1:16" outlineLevel="1">
      <c r="A26" s="52"/>
      <c r="C26" s="59" t="s">
        <v>17</v>
      </c>
      <c r="D26" s="59"/>
      <c r="E26" s="60"/>
      <c r="F26" s="60"/>
      <c r="G26" s="61"/>
      <c r="H26" s="83">
        <f>SUM(H27:H37)</f>
        <v>8242000</v>
      </c>
      <c r="I26" s="61"/>
      <c r="J26" s="63">
        <f t="shared" ref="J26:J37" si="3">H26/$H$8</f>
        <v>9.3331370528485211E-2</v>
      </c>
      <c r="K26" s="61"/>
      <c r="L26" s="83">
        <f>SUM(L27:L37)</f>
        <v>686833.33333333337</v>
      </c>
      <c r="O26" s="66"/>
      <c r="P26" s="58"/>
    </row>
    <row r="27" spans="1:16" outlineLevel="1">
      <c r="A27" s="52"/>
      <c r="C27" s="79"/>
      <c r="D27" s="88" t="s">
        <v>18</v>
      </c>
      <c r="E27" s="74"/>
      <c r="F27" s="73"/>
      <c r="G27" s="79"/>
      <c r="H27" s="82">
        <v>1260000</v>
      </c>
      <c r="I27" s="61"/>
      <c r="J27" s="63">
        <f t="shared" si="3"/>
        <v>1.4268081396007201E-2</v>
      </c>
      <c r="K27" s="61"/>
      <c r="L27" s="76">
        <f t="shared" ref="L27:L37" si="4">H27/12</f>
        <v>105000</v>
      </c>
      <c r="O27" s="89"/>
      <c r="P27" s="58"/>
    </row>
    <row r="28" spans="1:16" outlineLevel="1">
      <c r="A28" s="52"/>
      <c r="C28" s="79"/>
      <c r="D28" s="88" t="s">
        <v>19</v>
      </c>
      <c r="E28" s="74"/>
      <c r="F28" s="73"/>
      <c r="G28" s="79"/>
      <c r="H28" s="82">
        <v>750000</v>
      </c>
      <c r="I28" s="61"/>
      <c r="J28" s="63">
        <f t="shared" si="3"/>
        <v>8.4929055928614303E-3</v>
      </c>
      <c r="K28" s="61"/>
      <c r="L28" s="76">
        <f t="shared" si="4"/>
        <v>62500</v>
      </c>
      <c r="O28" s="66"/>
      <c r="P28" s="58"/>
    </row>
    <row r="29" spans="1:16" outlineLevel="1">
      <c r="A29" s="52"/>
      <c r="C29" s="79"/>
      <c r="D29" s="88" t="s">
        <v>20</v>
      </c>
      <c r="E29" s="74"/>
      <c r="F29" s="73"/>
      <c r="G29" s="79"/>
      <c r="H29" s="82">
        <v>504000</v>
      </c>
      <c r="I29" s="61"/>
      <c r="J29" s="63">
        <f t="shared" si="3"/>
        <v>5.7072325584028808E-3</v>
      </c>
      <c r="K29" s="61"/>
      <c r="L29" s="76">
        <f t="shared" si="4"/>
        <v>42000</v>
      </c>
      <c r="O29" s="66"/>
      <c r="P29" s="58"/>
    </row>
    <row r="30" spans="1:16" outlineLevel="1">
      <c r="A30" s="52"/>
      <c r="C30" s="79"/>
      <c r="D30" s="88" t="s">
        <v>21</v>
      </c>
      <c r="E30" s="74"/>
      <c r="F30" s="73"/>
      <c r="G30" s="79"/>
      <c r="H30" s="82">
        <v>480000</v>
      </c>
      <c r="I30" s="61"/>
      <c r="J30" s="63">
        <f t="shared" si="3"/>
        <v>5.4354595794313147E-3</v>
      </c>
      <c r="K30" s="61"/>
      <c r="L30" s="76">
        <f t="shared" si="4"/>
        <v>40000</v>
      </c>
      <c r="O30" s="66"/>
      <c r="P30" s="58"/>
    </row>
    <row r="31" spans="1:16" outlineLevel="1">
      <c r="A31" s="52"/>
      <c r="C31" s="79"/>
      <c r="D31" s="88" t="s">
        <v>22</v>
      </c>
      <c r="E31" s="74"/>
      <c r="F31" s="74"/>
      <c r="G31" s="61"/>
      <c r="H31" s="82">
        <v>408000</v>
      </c>
      <c r="I31" s="61"/>
      <c r="J31" s="63">
        <f t="shared" si="3"/>
        <v>4.620140642516618E-3</v>
      </c>
      <c r="K31" s="61"/>
      <c r="L31" s="76">
        <f t="shared" si="4"/>
        <v>34000</v>
      </c>
      <c r="O31" s="66"/>
      <c r="P31" s="58"/>
    </row>
    <row r="32" spans="1:16" outlineLevel="1">
      <c r="A32" s="52"/>
      <c r="C32" s="79"/>
      <c r="D32" s="88" t="s">
        <v>23</v>
      </c>
      <c r="E32" s="74"/>
      <c r="F32" s="74"/>
      <c r="G32" s="61"/>
      <c r="H32" s="82">
        <v>600000</v>
      </c>
      <c r="I32" s="61"/>
      <c r="J32" s="63">
        <f t="shared" si="3"/>
        <v>6.7943244742891436E-3</v>
      </c>
      <c r="K32" s="61"/>
      <c r="L32" s="76">
        <f t="shared" si="4"/>
        <v>50000</v>
      </c>
      <c r="O32" s="66"/>
      <c r="P32" s="58"/>
    </row>
    <row r="33" spans="1:20" outlineLevel="1">
      <c r="A33" s="52"/>
      <c r="C33" s="79"/>
      <c r="D33" s="88" t="s">
        <v>24</v>
      </c>
      <c r="E33" s="74"/>
      <c r="F33" s="74"/>
      <c r="G33" s="61"/>
      <c r="H33" s="82">
        <v>540000</v>
      </c>
      <c r="I33" s="61"/>
      <c r="J33" s="63">
        <f t="shared" si="3"/>
        <v>6.1148920268602296E-3</v>
      </c>
      <c r="K33" s="61"/>
      <c r="L33" s="76">
        <f t="shared" si="4"/>
        <v>45000</v>
      </c>
      <c r="O33" s="66"/>
      <c r="P33" s="58"/>
    </row>
    <row r="34" spans="1:20" outlineLevel="1">
      <c r="A34" s="52"/>
      <c r="C34" s="79"/>
      <c r="D34" s="88" t="s">
        <v>25</v>
      </c>
      <c r="E34" s="74"/>
      <c r="F34" s="74"/>
      <c r="G34" s="61"/>
      <c r="H34" s="82">
        <v>300000</v>
      </c>
      <c r="I34" s="61"/>
      <c r="J34" s="63">
        <f t="shared" si="3"/>
        <v>3.3971622371445718E-3</v>
      </c>
      <c r="K34" s="61"/>
      <c r="L34" s="76">
        <f t="shared" si="4"/>
        <v>25000</v>
      </c>
      <c r="O34" s="66"/>
      <c r="P34" s="58"/>
    </row>
    <row r="35" spans="1:20" outlineLevel="1">
      <c r="A35" s="52"/>
      <c r="C35" s="79"/>
      <c r="D35" s="73" t="s">
        <v>26</v>
      </c>
      <c r="E35" s="74"/>
      <c r="F35" s="74"/>
      <c r="G35" s="61"/>
      <c r="H35" s="75">
        <v>600000</v>
      </c>
      <c r="I35" s="61"/>
      <c r="J35" s="63">
        <f t="shared" si="3"/>
        <v>6.7943244742891436E-3</v>
      </c>
      <c r="K35" s="61"/>
      <c r="L35" s="76">
        <f t="shared" si="4"/>
        <v>50000</v>
      </c>
      <c r="N35" s="65">
        <v>0.5</v>
      </c>
      <c r="O35" s="66"/>
      <c r="P35" s="58"/>
    </row>
    <row r="36" spans="1:20" outlineLevel="1">
      <c r="A36" s="52"/>
      <c r="C36" s="79"/>
      <c r="D36" s="73" t="s">
        <v>27</v>
      </c>
      <c r="E36" s="74"/>
      <c r="F36" s="74"/>
      <c r="G36" s="61"/>
      <c r="H36" s="75">
        <v>1000000</v>
      </c>
      <c r="I36" s="61"/>
      <c r="J36" s="63">
        <f t="shared" si="3"/>
        <v>1.132387412381524E-2</v>
      </c>
      <c r="K36" s="61"/>
      <c r="L36" s="76">
        <f t="shared" si="4"/>
        <v>83333.333333333328</v>
      </c>
      <c r="N36" s="65">
        <v>0.5</v>
      </c>
      <c r="O36" s="66"/>
      <c r="P36" s="58"/>
    </row>
    <row r="37" spans="1:20" outlineLevel="1">
      <c r="A37" s="52"/>
      <c r="C37" s="79"/>
      <c r="D37" s="73" t="s">
        <v>28</v>
      </c>
      <c r="E37" s="74"/>
      <c r="F37" s="74"/>
      <c r="G37" s="61"/>
      <c r="H37" s="82">
        <v>1800000</v>
      </c>
      <c r="I37" s="61"/>
      <c r="J37" s="63">
        <f t="shared" si="3"/>
        <v>2.0382973422867431E-2</v>
      </c>
      <c r="K37" s="61"/>
      <c r="L37" s="76">
        <f t="shared" si="4"/>
        <v>150000</v>
      </c>
      <c r="O37" s="66"/>
      <c r="P37" s="58"/>
    </row>
    <row r="38" spans="1:20" s="9" customFormat="1" ht="15" outlineLevel="1">
      <c r="A38" s="52"/>
      <c r="B38" s="6"/>
      <c r="C38" s="79"/>
      <c r="D38" s="79"/>
      <c r="E38" s="61"/>
      <c r="F38" s="61"/>
      <c r="G38" s="61"/>
      <c r="H38" s="68"/>
      <c r="I38" s="61"/>
      <c r="J38" s="69"/>
      <c r="K38" s="61"/>
      <c r="L38" s="70"/>
      <c r="M38" s="6"/>
      <c r="N38" s="6"/>
      <c r="O38" s="66"/>
      <c r="P38" s="58"/>
      <c r="R38" s="6"/>
      <c r="S38" s="6"/>
      <c r="T38" s="6"/>
    </row>
    <row r="39" spans="1:20" s="9" customFormat="1" ht="15" outlineLevel="1">
      <c r="A39" s="52"/>
      <c r="B39" s="67"/>
      <c r="C39" s="59" t="s">
        <v>29</v>
      </c>
      <c r="D39" s="59"/>
      <c r="E39" s="60"/>
      <c r="F39" s="60"/>
      <c r="G39" s="61"/>
      <c r="H39" s="71">
        <v>384000</v>
      </c>
      <c r="I39" s="61"/>
      <c r="J39" s="63">
        <f>H39/$H$8</f>
        <v>4.3483676635450519E-3</v>
      </c>
      <c r="K39" s="61"/>
      <c r="L39" s="64">
        <f>H39/12</f>
        <v>32000</v>
      </c>
      <c r="M39" s="6"/>
      <c r="N39" s="6"/>
      <c r="O39" s="66"/>
      <c r="P39" s="58"/>
      <c r="R39" s="6"/>
      <c r="S39" s="6"/>
      <c r="T39" s="6"/>
    </row>
    <row r="40" spans="1:20" s="9" customFormat="1" ht="15" outlineLevel="1">
      <c r="A40" s="52"/>
      <c r="B40" s="67"/>
      <c r="C40" s="67"/>
      <c r="D40" s="67"/>
      <c r="E40" s="61"/>
      <c r="F40" s="61"/>
      <c r="G40" s="61"/>
      <c r="H40" s="84"/>
      <c r="I40" s="61"/>
      <c r="J40" s="90"/>
      <c r="K40" s="61"/>
      <c r="L40" s="70"/>
      <c r="M40" s="6"/>
      <c r="N40" s="6"/>
      <c r="O40" s="66"/>
      <c r="P40" s="58"/>
      <c r="R40" s="6"/>
      <c r="S40" s="6"/>
      <c r="T40" s="6"/>
    </row>
    <row r="41" spans="1:20" s="9" customFormat="1" ht="15" outlineLevel="1">
      <c r="A41" s="52"/>
      <c r="B41" s="67"/>
      <c r="C41" s="59" t="s">
        <v>30</v>
      </c>
      <c r="D41" s="59"/>
      <c r="E41" s="60"/>
      <c r="F41" s="60"/>
      <c r="G41" s="61"/>
      <c r="H41" s="71">
        <v>240000</v>
      </c>
      <c r="I41" s="61"/>
      <c r="J41" s="63">
        <f>H41/$H$8</f>
        <v>2.7177297897156573E-3</v>
      </c>
      <c r="K41" s="61"/>
      <c r="L41" s="64">
        <f>H41/12</f>
        <v>20000</v>
      </c>
      <c r="M41" s="6"/>
      <c r="N41" s="6"/>
      <c r="O41" s="66"/>
      <c r="P41" s="58"/>
      <c r="R41" s="6"/>
      <c r="S41" s="6"/>
      <c r="T41" s="6"/>
    </row>
    <row r="42" spans="1:20" s="9" customFormat="1" ht="15" outlineLevel="1">
      <c r="A42" s="52"/>
      <c r="B42" s="67"/>
      <c r="C42" s="67"/>
      <c r="D42" s="67"/>
      <c r="E42" s="61"/>
      <c r="F42" s="61"/>
      <c r="G42" s="61"/>
      <c r="H42" s="84"/>
      <c r="I42" s="61"/>
      <c r="J42" s="90"/>
      <c r="K42" s="61"/>
      <c r="L42" s="70"/>
      <c r="M42" s="6"/>
      <c r="N42" s="6"/>
      <c r="O42" s="66"/>
      <c r="P42" s="58"/>
      <c r="R42" s="6"/>
      <c r="S42" s="6"/>
      <c r="T42" s="6"/>
    </row>
    <row r="43" spans="1:20" s="9" customFormat="1" ht="15" outlineLevel="1">
      <c r="A43" s="52"/>
      <c r="B43" s="67"/>
      <c r="C43" s="59" t="s">
        <v>31</v>
      </c>
      <c r="D43" s="59"/>
      <c r="E43" s="60"/>
      <c r="F43" s="60"/>
      <c r="G43" s="61"/>
      <c r="H43" s="78">
        <v>672000</v>
      </c>
      <c r="I43" s="61"/>
      <c r="J43" s="63">
        <f>H43/$H$8</f>
        <v>7.6096434112038411E-3</v>
      </c>
      <c r="K43" s="61"/>
      <c r="L43" s="64">
        <f>H43/12</f>
        <v>56000</v>
      </c>
      <c r="M43" s="6"/>
      <c r="N43" s="65">
        <v>0.3</v>
      </c>
      <c r="O43" s="66"/>
      <c r="P43" s="58"/>
      <c r="R43" s="6"/>
      <c r="S43" s="6"/>
      <c r="T43" s="6"/>
    </row>
    <row r="44" spans="1:20" s="9" customFormat="1" ht="15" outlineLevel="1">
      <c r="A44" s="52"/>
      <c r="B44" s="67"/>
      <c r="C44" s="67"/>
      <c r="D44" s="67"/>
      <c r="E44" s="61"/>
      <c r="F44" s="61"/>
      <c r="G44" s="61"/>
      <c r="H44" s="84"/>
      <c r="I44" s="61"/>
      <c r="J44" s="90"/>
      <c r="K44" s="61"/>
      <c r="L44" s="70"/>
      <c r="M44" s="6"/>
      <c r="N44" s="6"/>
      <c r="O44" s="66"/>
      <c r="P44" s="58"/>
      <c r="R44" s="6"/>
      <c r="S44" s="6"/>
      <c r="T44" s="6"/>
    </row>
    <row r="45" spans="1:20" s="9" customFormat="1" ht="15" outlineLevel="1">
      <c r="A45" s="52"/>
      <c r="B45" s="67"/>
      <c r="C45" s="59" t="s">
        <v>32</v>
      </c>
      <c r="D45" s="59"/>
      <c r="E45" s="60"/>
      <c r="F45" s="60"/>
      <c r="G45" s="61"/>
      <c r="H45" s="78">
        <v>8400000</v>
      </c>
      <c r="I45" s="61"/>
      <c r="J45" s="63">
        <f>H45/$H$8</f>
        <v>9.5120542640048017E-2</v>
      </c>
      <c r="K45" s="61"/>
      <c r="L45" s="64">
        <f>H45/12</f>
        <v>700000</v>
      </c>
      <c r="M45" s="6"/>
      <c r="N45" s="65">
        <v>0.3</v>
      </c>
      <c r="O45" s="66"/>
      <c r="P45" s="58"/>
      <c r="R45" s="6"/>
      <c r="S45" s="6"/>
      <c r="T45" s="6"/>
    </row>
    <row r="46" spans="1:20" s="9" customFormat="1" ht="15" outlineLevel="1">
      <c r="A46" s="52"/>
      <c r="B46" s="67"/>
      <c r="C46" s="59" t="s">
        <v>1040</v>
      </c>
      <c r="D46" s="59"/>
      <c r="E46" s="60"/>
      <c r="F46" s="60"/>
      <c r="G46" s="61"/>
      <c r="H46" s="78">
        <v>450000</v>
      </c>
      <c r="I46" s="61"/>
      <c r="J46" s="63">
        <f>H46/$H$8</f>
        <v>5.0957433557168577E-3</v>
      </c>
      <c r="K46" s="61"/>
      <c r="L46" s="64">
        <f>H46/12</f>
        <v>37500</v>
      </c>
      <c r="M46" s="6"/>
      <c r="N46" s="65">
        <v>0.5</v>
      </c>
      <c r="O46" s="66"/>
      <c r="P46" s="58"/>
      <c r="R46" s="6"/>
      <c r="S46" s="6"/>
      <c r="T46" s="6"/>
    </row>
    <row r="47" spans="1:20" s="9" customFormat="1" ht="15" outlineLevel="1">
      <c r="A47" s="52"/>
      <c r="B47" s="67"/>
      <c r="C47" s="59" t="s">
        <v>33</v>
      </c>
      <c r="D47" s="59"/>
      <c r="E47" s="60"/>
      <c r="F47" s="60"/>
      <c r="G47" s="61"/>
      <c r="H47" s="78">
        <v>500000</v>
      </c>
      <c r="I47" s="61"/>
      <c r="J47" s="63">
        <f>H47/$H$8</f>
        <v>5.6619370619076202E-3</v>
      </c>
      <c r="K47" s="61"/>
      <c r="L47" s="91">
        <f>H47/12</f>
        <v>41666.666666666664</v>
      </c>
      <c r="M47" s="6"/>
      <c r="N47" s="65"/>
      <c r="O47" s="66"/>
      <c r="P47" s="58"/>
      <c r="R47" s="6"/>
      <c r="S47" s="6"/>
      <c r="T47" s="6"/>
    </row>
    <row r="48" spans="1:20" s="9" customFormat="1" ht="15" outlineLevel="1">
      <c r="A48" s="52"/>
      <c r="B48" s="67"/>
      <c r="C48" s="67"/>
      <c r="D48" s="67"/>
      <c r="E48" s="61"/>
      <c r="F48" s="61"/>
      <c r="G48" s="61"/>
      <c r="H48" s="84"/>
      <c r="I48" s="61"/>
      <c r="J48" s="90"/>
      <c r="K48" s="61"/>
      <c r="L48" s="70"/>
      <c r="M48" s="6"/>
      <c r="N48" s="6"/>
      <c r="O48" s="66"/>
      <c r="P48" s="58"/>
      <c r="R48" s="6"/>
      <c r="S48" s="6"/>
      <c r="T48" s="6"/>
    </row>
    <row r="49" spans="1:20" s="9" customFormat="1" ht="15" outlineLevel="1">
      <c r="A49" s="52"/>
      <c r="B49" s="67"/>
      <c r="C49" s="59" t="s">
        <v>34</v>
      </c>
      <c r="D49" s="59"/>
      <c r="E49" s="60"/>
      <c r="F49" s="60"/>
      <c r="G49" s="61"/>
      <c r="H49" s="71">
        <v>7680000</v>
      </c>
      <c r="I49" s="61"/>
      <c r="J49" s="63">
        <f>H49/$H$8</f>
        <v>8.6967353270901035E-2</v>
      </c>
      <c r="K49" s="61"/>
      <c r="L49" s="64">
        <f>H49/12</f>
        <v>640000</v>
      </c>
      <c r="M49" s="6"/>
      <c r="N49" s="6"/>
      <c r="O49" s="66"/>
      <c r="P49" s="58"/>
      <c r="R49" s="6"/>
      <c r="S49" s="6"/>
      <c r="T49" s="6"/>
    </row>
    <row r="50" spans="1:20" s="9" customFormat="1" ht="15" outlineLevel="1">
      <c r="A50" s="52"/>
      <c r="B50" s="67"/>
      <c r="C50" s="67"/>
      <c r="D50" s="67"/>
      <c r="E50" s="61"/>
      <c r="F50" s="61"/>
      <c r="G50" s="61"/>
      <c r="H50" s="84"/>
      <c r="I50" s="61"/>
      <c r="J50" s="90"/>
      <c r="K50" s="61"/>
      <c r="L50" s="70"/>
      <c r="M50" s="6"/>
      <c r="N50" s="6"/>
      <c r="O50" s="66"/>
      <c r="P50" s="58"/>
      <c r="R50" s="6"/>
      <c r="S50" s="6"/>
      <c r="T50" s="6"/>
    </row>
    <row r="51" spans="1:20" s="9" customFormat="1" ht="15" outlineLevel="1">
      <c r="A51" s="52"/>
      <c r="B51" s="67"/>
      <c r="C51" s="59" t="s">
        <v>35</v>
      </c>
      <c r="D51" s="59"/>
      <c r="E51" s="60"/>
      <c r="F51" s="60"/>
      <c r="G51" s="61"/>
      <c r="H51" s="71">
        <v>240000</v>
      </c>
      <c r="I51" s="61"/>
      <c r="J51" s="63">
        <f>H51/$H$8</f>
        <v>2.7177297897156573E-3</v>
      </c>
      <c r="K51" s="61"/>
      <c r="L51" s="64">
        <f>H51/12</f>
        <v>20000</v>
      </c>
      <c r="M51" s="6"/>
      <c r="N51" s="6"/>
      <c r="O51" s="66"/>
      <c r="P51" s="58"/>
      <c r="R51" s="6"/>
      <c r="S51" s="6"/>
      <c r="T51" s="6"/>
    </row>
    <row r="52" spans="1:20" s="9" customFormat="1" ht="15" outlineLevel="1">
      <c r="A52" s="52"/>
      <c r="B52" s="67"/>
      <c r="C52" s="67"/>
      <c r="D52" s="67"/>
      <c r="E52" s="61"/>
      <c r="F52" s="61"/>
      <c r="G52" s="61"/>
      <c r="H52" s="84"/>
      <c r="I52" s="61"/>
      <c r="J52" s="90"/>
      <c r="K52" s="61"/>
      <c r="L52" s="70"/>
      <c r="M52" s="6"/>
      <c r="N52" s="6"/>
      <c r="O52" s="66"/>
      <c r="P52" s="58"/>
      <c r="R52" s="6"/>
      <c r="S52" s="6"/>
      <c r="T52" s="6"/>
    </row>
    <row r="53" spans="1:20" s="9" customFormat="1" ht="15" outlineLevel="1">
      <c r="A53" s="52"/>
      <c r="B53" s="67"/>
      <c r="C53" s="59" t="s">
        <v>36</v>
      </c>
      <c r="D53" s="59"/>
      <c r="E53" s="60"/>
      <c r="F53" s="60"/>
      <c r="G53" s="61"/>
      <c r="H53" s="78">
        <v>315000</v>
      </c>
      <c r="I53" s="61"/>
      <c r="J53" s="63">
        <f>H53/$H$8</f>
        <v>3.5670203490018003E-3</v>
      </c>
      <c r="K53" s="61"/>
      <c r="L53" s="64">
        <f>H53/12</f>
        <v>26250</v>
      </c>
      <c r="M53" s="6"/>
      <c r="N53" s="65">
        <v>0.65</v>
      </c>
      <c r="O53" s="66"/>
      <c r="P53" s="58"/>
      <c r="R53" s="6"/>
      <c r="S53" s="6"/>
      <c r="T53" s="6"/>
    </row>
    <row r="54" spans="1:20" s="9" customFormat="1" ht="15" outlineLevel="1">
      <c r="A54" s="52"/>
      <c r="B54" s="67"/>
      <c r="C54" s="59" t="s">
        <v>37</v>
      </c>
      <c r="D54" s="59"/>
      <c r="E54" s="60"/>
      <c r="F54" s="60"/>
      <c r="G54" s="61"/>
      <c r="H54" s="78">
        <v>336000</v>
      </c>
      <c r="I54" s="61"/>
      <c r="J54" s="63">
        <f>H54/$H$8</f>
        <v>3.8048217056019205E-3</v>
      </c>
      <c r="K54" s="61"/>
      <c r="L54" s="64">
        <f>H54/12</f>
        <v>28000</v>
      </c>
      <c r="M54" s="6"/>
      <c r="N54" s="65">
        <v>0.65</v>
      </c>
      <c r="O54" s="66"/>
      <c r="P54" s="58"/>
      <c r="R54" s="6"/>
      <c r="S54" s="6"/>
      <c r="T54" s="6"/>
    </row>
    <row r="55" spans="1:20" s="9" customFormat="1" ht="15" outlineLevel="1">
      <c r="A55" s="52"/>
      <c r="B55" s="67"/>
      <c r="C55" s="59" t="s">
        <v>38</v>
      </c>
      <c r="D55" s="59"/>
      <c r="E55" s="60"/>
      <c r="F55" s="60"/>
      <c r="G55" s="61"/>
      <c r="H55" s="78">
        <v>252000</v>
      </c>
      <c r="I55" s="61"/>
      <c r="J55" s="63">
        <f>H55/$H$8</f>
        <v>2.8536162792014404E-3</v>
      </c>
      <c r="K55" s="61"/>
      <c r="L55" s="64">
        <f>H55/12</f>
        <v>21000</v>
      </c>
      <c r="M55" s="6"/>
      <c r="N55" s="65">
        <v>0.65</v>
      </c>
      <c r="O55" s="66"/>
      <c r="P55" s="58"/>
      <c r="R55" s="6"/>
      <c r="S55" s="6"/>
      <c r="T55" s="6"/>
    </row>
    <row r="56" spans="1:20" s="9" customFormat="1" ht="15" outlineLevel="1">
      <c r="A56" s="52"/>
      <c r="B56" s="67"/>
      <c r="C56" s="67"/>
      <c r="D56" s="67"/>
      <c r="E56" s="61"/>
      <c r="F56" s="61"/>
      <c r="G56" s="61"/>
      <c r="H56" s="68"/>
      <c r="I56" s="61"/>
      <c r="J56" s="92"/>
      <c r="K56" s="61"/>
      <c r="L56" s="61"/>
      <c r="M56" s="6"/>
      <c r="N56" s="6"/>
      <c r="O56" s="66"/>
      <c r="P56" s="58"/>
      <c r="R56" s="6"/>
      <c r="S56" s="6"/>
      <c r="T56" s="6"/>
    </row>
    <row r="57" spans="1:20" s="9" customFormat="1" ht="15" outlineLevel="1">
      <c r="A57" s="52"/>
      <c r="B57" s="93" t="s">
        <v>39</v>
      </c>
      <c r="C57" s="93"/>
      <c r="D57" s="93"/>
      <c r="E57" s="94"/>
      <c r="F57" s="94"/>
      <c r="G57" s="54"/>
      <c r="H57" s="95">
        <v>1092000</v>
      </c>
      <c r="I57" s="54"/>
      <c r="J57" s="96">
        <f>H57/$H$8</f>
        <v>1.2365670543206241E-2</v>
      </c>
      <c r="K57" s="54"/>
      <c r="L57" s="95">
        <f>SUM(L58:L61)</f>
        <v>91000</v>
      </c>
      <c r="M57" s="6"/>
      <c r="N57" s="6"/>
      <c r="O57" s="66"/>
      <c r="P57" s="58"/>
      <c r="R57" s="6"/>
      <c r="S57" s="6"/>
      <c r="T57" s="6"/>
    </row>
    <row r="58" spans="1:20" s="9" customFormat="1" ht="15" outlineLevel="1">
      <c r="A58" s="52"/>
      <c r="B58" s="6"/>
      <c r="C58" s="97" t="s">
        <v>40</v>
      </c>
      <c r="D58" s="97"/>
      <c r="E58" s="98"/>
      <c r="F58" s="74"/>
      <c r="G58" s="61"/>
      <c r="H58" s="99">
        <v>1092000</v>
      </c>
      <c r="I58" s="61"/>
      <c r="J58" s="63">
        <f>H58/$H$8</f>
        <v>1.2365670543206241E-2</v>
      </c>
      <c r="K58" s="61"/>
      <c r="L58" s="91">
        <f>H58/12</f>
        <v>91000</v>
      </c>
      <c r="M58" s="6"/>
      <c r="N58" s="6"/>
      <c r="O58" s="6"/>
      <c r="P58" s="6"/>
      <c r="R58" s="6"/>
      <c r="S58" s="6"/>
      <c r="T58" s="6"/>
    </row>
    <row r="59" spans="1:20" s="9" customFormat="1" ht="15" outlineLevel="1">
      <c r="A59" s="52"/>
      <c r="B59" s="6"/>
      <c r="C59" s="97" t="s">
        <v>41</v>
      </c>
      <c r="D59" s="97"/>
      <c r="E59" s="98"/>
      <c r="F59" s="74"/>
      <c r="G59" s="61"/>
      <c r="H59" s="82">
        <v>0</v>
      </c>
      <c r="I59" s="61"/>
      <c r="J59" s="100"/>
      <c r="K59" s="61"/>
      <c r="L59" s="74">
        <v>0</v>
      </c>
      <c r="M59" s="6"/>
      <c r="N59" s="6"/>
      <c r="O59" s="6"/>
      <c r="P59" s="6"/>
      <c r="R59" s="6"/>
      <c r="S59" s="6"/>
      <c r="T59" s="6"/>
    </row>
    <row r="60" spans="1:20" s="9" customFormat="1" ht="15" outlineLevel="1">
      <c r="A60" s="52"/>
      <c r="B60" s="6"/>
      <c r="C60" s="97" t="s">
        <v>42</v>
      </c>
      <c r="D60" s="97"/>
      <c r="E60" s="98"/>
      <c r="F60" s="74"/>
      <c r="G60" s="61"/>
      <c r="H60" s="101">
        <v>0</v>
      </c>
      <c r="I60" s="61"/>
      <c r="J60" s="102"/>
      <c r="K60" s="61"/>
      <c r="L60" s="74">
        <v>0</v>
      </c>
      <c r="M60" s="6"/>
      <c r="N60" s="6"/>
      <c r="O60" s="6"/>
      <c r="P60" s="6"/>
      <c r="R60" s="6"/>
      <c r="S60" s="6"/>
      <c r="T60" s="6"/>
    </row>
    <row r="61" spans="1:20" s="9" customFormat="1" ht="15" outlineLevel="1">
      <c r="A61" s="52"/>
      <c r="B61" s="6"/>
      <c r="C61" s="103" t="s">
        <v>43</v>
      </c>
      <c r="D61" s="103"/>
      <c r="E61" s="104"/>
      <c r="F61" s="60"/>
      <c r="G61" s="61"/>
      <c r="H61" s="83">
        <v>0</v>
      </c>
      <c r="I61" s="61"/>
      <c r="J61" s="105"/>
      <c r="K61" s="61"/>
      <c r="L61" s="60">
        <v>0</v>
      </c>
      <c r="M61" s="6"/>
      <c r="N61" s="6"/>
      <c r="O61" s="6"/>
      <c r="P61" s="6"/>
      <c r="R61" s="6"/>
      <c r="S61" s="6"/>
      <c r="T61" s="6"/>
    </row>
    <row r="62" spans="1:20" s="9" customFormat="1" ht="15">
      <c r="A62" s="52"/>
      <c r="B62" s="42"/>
      <c r="C62" s="42"/>
      <c r="D62" s="42"/>
      <c r="E62" s="61"/>
      <c r="F62" s="61"/>
      <c r="G62" s="61"/>
      <c r="H62" s="68"/>
      <c r="I62" s="61"/>
      <c r="J62" s="92"/>
      <c r="K62" s="61"/>
      <c r="L62" s="106"/>
      <c r="M62" s="6"/>
      <c r="N62" s="6"/>
      <c r="O62" s="6"/>
      <c r="P62" s="6"/>
      <c r="R62" s="6"/>
      <c r="S62" s="6"/>
      <c r="T62" s="6"/>
    </row>
    <row r="63" spans="1:20" s="9" customFormat="1" ht="15" customHeight="1">
      <c r="A63" s="52"/>
      <c r="B63" s="107" t="s">
        <v>44</v>
      </c>
      <c r="C63" s="107"/>
      <c r="D63" s="108"/>
      <c r="E63" s="109"/>
      <c r="F63" s="110"/>
      <c r="G63" s="111"/>
      <c r="H63" s="95">
        <f>H8-H57</f>
        <v>87217000</v>
      </c>
      <c r="I63" s="111"/>
      <c r="J63" s="96">
        <f>H63/$H$8</f>
        <v>0.98763432945679375</v>
      </c>
      <c r="K63" s="111"/>
      <c r="L63" s="95">
        <f>L8-L57</f>
        <v>7268083.333333334</v>
      </c>
      <c r="M63" s="6"/>
      <c r="N63" s="112"/>
      <c r="O63" s="112"/>
      <c r="P63" s="6"/>
      <c r="R63" s="6"/>
      <c r="S63" s="6"/>
      <c r="T63" s="6"/>
    </row>
    <row r="64" spans="1:20" s="9" customFormat="1" ht="15" customHeight="1">
      <c r="A64" s="52"/>
      <c r="B64" s="113"/>
      <c r="C64" s="113"/>
      <c r="D64" s="114"/>
      <c r="E64" s="115"/>
      <c r="F64" s="115"/>
      <c r="G64" s="115"/>
      <c r="H64" s="116"/>
      <c r="I64" s="115"/>
      <c r="J64" s="117"/>
      <c r="K64" s="115"/>
      <c r="L64" s="118"/>
      <c r="M64" s="6"/>
      <c r="N64" s="112"/>
      <c r="O64" s="112"/>
      <c r="P64" s="6"/>
      <c r="R64" s="6"/>
      <c r="S64" s="6"/>
      <c r="T64" s="6"/>
    </row>
    <row r="65" spans="1:20" s="9" customFormat="1" ht="15" customHeight="1">
      <c r="A65" s="52"/>
      <c r="B65" s="119" t="s">
        <v>45</v>
      </c>
      <c r="C65" s="119"/>
      <c r="D65" s="120"/>
      <c r="E65" s="121"/>
      <c r="F65" s="122"/>
      <c r="G65" s="122"/>
      <c r="H65" s="123">
        <f>H67+H70+H76+H83+H107+H114+H120+H146+H138+H98</f>
        <v>89333737.387777776</v>
      </c>
      <c r="I65" s="122"/>
      <c r="J65" s="124">
        <v>1</v>
      </c>
      <c r="K65" s="122"/>
      <c r="L65" s="123">
        <f>L67+L70+L76+L83+L107+L114+L120+L146+L138+L98</f>
        <v>7444478.1156481495</v>
      </c>
      <c r="M65" s="6"/>
      <c r="N65" s="125"/>
      <c r="O65" s="112"/>
      <c r="P65" s="112"/>
      <c r="R65" s="6"/>
      <c r="S65" s="6"/>
      <c r="T65" s="6"/>
    </row>
    <row r="66" spans="1:20" s="9" customFormat="1" ht="15" customHeight="1">
      <c r="A66" s="52"/>
      <c r="B66" s="114"/>
      <c r="C66" s="114"/>
      <c r="D66" s="42"/>
      <c r="E66" s="126"/>
      <c r="F66" s="126"/>
      <c r="G66" s="126"/>
      <c r="H66" s="68"/>
      <c r="I66" s="126"/>
      <c r="J66" s="92"/>
      <c r="K66" s="126"/>
      <c r="L66" s="126"/>
      <c r="M66" s="6"/>
      <c r="N66" s="125"/>
      <c r="O66" s="112"/>
      <c r="P66" s="112"/>
      <c r="R66" s="6"/>
      <c r="S66" s="6"/>
      <c r="T66" s="6"/>
    </row>
    <row r="67" spans="1:20" s="9" customFormat="1" ht="15" customHeight="1">
      <c r="A67" s="52"/>
      <c r="B67" s="103" t="s">
        <v>46</v>
      </c>
      <c r="C67" s="103"/>
      <c r="D67" s="103"/>
      <c r="E67" s="127"/>
      <c r="F67" s="128"/>
      <c r="G67" s="126"/>
      <c r="H67" s="62">
        <v>4830000</v>
      </c>
      <c r="I67" s="126"/>
      <c r="J67" s="129">
        <f>H67/$H$65</f>
        <v>5.4066919634561464E-2</v>
      </c>
      <c r="K67" s="126"/>
      <c r="L67" s="130">
        <f>SUM(L68:L68)</f>
        <v>402500</v>
      </c>
      <c r="M67" s="6"/>
      <c r="N67" s="65">
        <v>0.3</v>
      </c>
      <c r="O67" s="57"/>
      <c r="P67" s="112"/>
      <c r="R67" s="6"/>
      <c r="S67" s="6"/>
      <c r="T67" s="6"/>
    </row>
    <row r="68" spans="1:20" s="9" customFormat="1" ht="15" customHeight="1">
      <c r="A68" s="52"/>
      <c r="B68" s="42"/>
      <c r="C68" s="88" t="s">
        <v>47</v>
      </c>
      <c r="D68" s="97"/>
      <c r="E68" s="131"/>
      <c r="F68" s="132"/>
      <c r="G68" s="126"/>
      <c r="H68" s="75">
        <v>4830000</v>
      </c>
      <c r="I68" s="126"/>
      <c r="J68" s="129">
        <f>H68/$H$65</f>
        <v>5.4066919634561464E-2</v>
      </c>
      <c r="K68" s="126"/>
      <c r="L68" s="64">
        <f>H68/12</f>
        <v>402500</v>
      </c>
      <c r="M68" s="6"/>
      <c r="N68" s="125"/>
      <c r="O68" s="57"/>
      <c r="P68" s="112"/>
      <c r="R68" s="6"/>
      <c r="S68" s="6"/>
      <c r="T68" s="6"/>
    </row>
    <row r="69" spans="1:20" s="9" customFormat="1" ht="15" customHeight="1">
      <c r="A69" s="52"/>
      <c r="B69" s="42"/>
      <c r="C69" s="133"/>
      <c r="D69" s="42"/>
      <c r="E69" s="134"/>
      <c r="F69" s="126"/>
      <c r="G69" s="126"/>
      <c r="H69" s="135"/>
      <c r="I69" s="126"/>
      <c r="J69" s="69"/>
      <c r="K69" s="126"/>
      <c r="L69" s="134"/>
      <c r="M69" s="6"/>
      <c r="N69" s="125"/>
      <c r="O69" s="112"/>
      <c r="P69" s="112"/>
      <c r="R69" s="6"/>
      <c r="S69" s="6"/>
      <c r="T69" s="6"/>
    </row>
    <row r="70" spans="1:20" s="9" customFormat="1" ht="15" customHeight="1">
      <c r="A70" s="52"/>
      <c r="B70" s="136" t="s">
        <v>48</v>
      </c>
      <c r="C70" s="136"/>
      <c r="D70" s="103"/>
      <c r="E70" s="127"/>
      <c r="F70" s="128"/>
      <c r="G70" s="126"/>
      <c r="H70" s="62">
        <f>SUM(H71:H74)</f>
        <v>3209500</v>
      </c>
      <c r="I70" s="126"/>
      <c r="J70" s="129">
        <f>H70/$H$65</f>
        <v>3.592707630789338E-2</v>
      </c>
      <c r="K70" s="126"/>
      <c r="L70" s="130">
        <f>SUM(L71:L74)</f>
        <v>267458.33333333337</v>
      </c>
      <c r="M70" s="6"/>
      <c r="N70" s="65"/>
      <c r="O70" s="112"/>
      <c r="P70" s="112"/>
      <c r="R70" s="6"/>
      <c r="S70" s="6"/>
      <c r="T70" s="6"/>
    </row>
    <row r="71" spans="1:20" s="9" customFormat="1" ht="15" customHeight="1">
      <c r="A71" s="52"/>
      <c r="B71" s="137"/>
      <c r="C71" s="88" t="s">
        <v>49</v>
      </c>
      <c r="D71" s="97"/>
      <c r="E71" s="131"/>
      <c r="F71" s="132"/>
      <c r="G71" s="126"/>
      <c r="H71" s="75">
        <v>673750</v>
      </c>
      <c r="I71" s="126"/>
      <c r="J71" s="129">
        <f>H71/$H$65</f>
        <v>7.5419434997486103E-3</v>
      </c>
      <c r="K71" s="126"/>
      <c r="L71" s="64">
        <f>H71/12</f>
        <v>56145.833333333336</v>
      </c>
      <c r="M71" s="6"/>
      <c r="N71" s="65">
        <v>0.65</v>
      </c>
      <c r="O71" s="112"/>
      <c r="P71" s="112"/>
      <c r="R71" s="6"/>
      <c r="S71" s="6"/>
      <c r="T71" s="6"/>
    </row>
    <row r="72" spans="1:20" s="9" customFormat="1" ht="15" customHeight="1">
      <c r="A72" s="52"/>
      <c r="B72" s="137"/>
      <c r="C72" s="88" t="s">
        <v>50</v>
      </c>
      <c r="D72" s="97"/>
      <c r="E72" s="131"/>
      <c r="F72" s="132"/>
      <c r="G72" s="126"/>
      <c r="H72" s="75">
        <v>453250</v>
      </c>
      <c r="I72" s="126"/>
      <c r="J72" s="129">
        <f>H72/$H$65</f>
        <v>5.0736710816490652E-3</v>
      </c>
      <c r="K72" s="126"/>
      <c r="L72" s="64">
        <f>H72/12</f>
        <v>37770.833333333336</v>
      </c>
      <c r="M72" s="6"/>
      <c r="N72" s="65">
        <v>0.65</v>
      </c>
      <c r="O72" s="112"/>
      <c r="P72" s="112"/>
      <c r="R72" s="6"/>
      <c r="S72" s="6"/>
      <c r="T72" s="6"/>
    </row>
    <row r="73" spans="1:20" s="9" customFormat="1" ht="15" customHeight="1">
      <c r="A73" s="52"/>
      <c r="B73" s="137"/>
      <c r="C73" s="88" t="s">
        <v>51</v>
      </c>
      <c r="D73" s="97"/>
      <c r="E73" s="131"/>
      <c r="F73" s="132"/>
      <c r="G73" s="126"/>
      <c r="H73" s="75">
        <v>1837500</v>
      </c>
      <c r="I73" s="126"/>
      <c r="J73" s="129">
        <f>H73/$H$65</f>
        <v>2.0568936817496209E-2</v>
      </c>
      <c r="K73" s="126"/>
      <c r="L73" s="64">
        <f>H73/12</f>
        <v>153125</v>
      </c>
      <c r="M73" s="6"/>
      <c r="N73" s="65">
        <v>0.65</v>
      </c>
      <c r="O73" s="112"/>
      <c r="P73" s="112"/>
      <c r="R73" s="6"/>
      <c r="S73" s="6"/>
      <c r="T73" s="6"/>
    </row>
    <row r="74" spans="1:20" s="9" customFormat="1" ht="15" customHeight="1">
      <c r="A74" s="52"/>
      <c r="B74" s="137"/>
      <c r="C74" s="88" t="s">
        <v>52</v>
      </c>
      <c r="D74" s="97"/>
      <c r="E74" s="131"/>
      <c r="F74" s="132"/>
      <c r="G74" s="126"/>
      <c r="H74" s="75">
        <v>245000</v>
      </c>
      <c r="I74" s="126"/>
      <c r="J74" s="129">
        <f>H74/$H$65</f>
        <v>2.7425249089994947E-3</v>
      </c>
      <c r="K74" s="126"/>
      <c r="L74" s="64">
        <f>H74/12</f>
        <v>20416.666666666668</v>
      </c>
      <c r="M74" s="6"/>
      <c r="N74" s="65">
        <v>0.65</v>
      </c>
      <c r="O74" s="112"/>
      <c r="P74" s="112"/>
      <c r="R74" s="6"/>
      <c r="S74" s="6"/>
      <c r="T74" s="6"/>
    </row>
    <row r="75" spans="1:20" s="9" customFormat="1" ht="15" customHeight="1">
      <c r="A75" s="52"/>
      <c r="B75" s="137"/>
      <c r="C75" s="137"/>
      <c r="D75" s="42"/>
      <c r="E75" s="134"/>
      <c r="F75" s="126"/>
      <c r="G75" s="126"/>
      <c r="H75" s="135"/>
      <c r="I75" s="126"/>
      <c r="J75" s="69"/>
      <c r="K75" s="126"/>
      <c r="L75" s="134"/>
      <c r="M75" s="6"/>
      <c r="N75" s="125"/>
      <c r="O75" s="112"/>
      <c r="P75" s="112"/>
      <c r="R75" s="6"/>
      <c r="S75" s="6"/>
      <c r="T75" s="6"/>
    </row>
    <row r="76" spans="1:20" s="9" customFormat="1" ht="15" customHeight="1">
      <c r="A76" s="52"/>
      <c r="B76" s="136" t="s">
        <v>53</v>
      </c>
      <c r="C76" s="136"/>
      <c r="D76" s="103"/>
      <c r="E76" s="127"/>
      <c r="F76" s="128"/>
      <c r="G76" s="126"/>
      <c r="H76" s="62">
        <f>SUM(H77:H81)</f>
        <v>2717217.777777778</v>
      </c>
      <c r="I76" s="126"/>
      <c r="J76" s="129">
        <f t="shared" ref="J76:J81" si="5">H76/$H$65</f>
        <v>3.041647934176249E-2</v>
      </c>
      <c r="K76" s="126"/>
      <c r="L76" s="130">
        <f>SUM(L77:L81)</f>
        <v>226434.8148148148</v>
      </c>
      <c r="M76" s="6"/>
      <c r="N76" s="65">
        <v>0.5</v>
      </c>
      <c r="O76" s="112"/>
      <c r="P76" s="112"/>
      <c r="R76" s="6"/>
      <c r="S76" s="6"/>
      <c r="T76" s="6"/>
    </row>
    <row r="77" spans="1:20" s="9" customFormat="1" ht="15" customHeight="1">
      <c r="A77" s="52"/>
      <c r="B77" s="137"/>
      <c r="C77" s="73" t="s">
        <v>54</v>
      </c>
      <c r="D77" s="97"/>
      <c r="E77" s="131"/>
      <c r="F77" s="132"/>
      <c r="G77" s="126"/>
      <c r="H77" s="75">
        <v>777600</v>
      </c>
      <c r="I77" s="126"/>
      <c r="J77" s="129">
        <f t="shared" si="5"/>
        <v>8.7044382417877843E-3</v>
      </c>
      <c r="K77" s="126"/>
      <c r="L77" s="64">
        <f>H77/12</f>
        <v>64800</v>
      </c>
      <c r="M77" s="6"/>
      <c r="N77" s="65">
        <v>0.1</v>
      </c>
      <c r="O77" s="112"/>
      <c r="P77" s="112"/>
      <c r="R77" s="6"/>
      <c r="S77" s="6"/>
      <c r="T77" s="6"/>
    </row>
    <row r="78" spans="1:20" s="9" customFormat="1" ht="15" customHeight="1">
      <c r="A78" s="52"/>
      <c r="B78" s="137"/>
      <c r="C78" s="73" t="s">
        <v>55</v>
      </c>
      <c r="D78" s="97"/>
      <c r="E78" s="131"/>
      <c r="F78" s="132"/>
      <c r="G78" s="126"/>
      <c r="H78" s="75">
        <v>394080</v>
      </c>
      <c r="I78" s="126"/>
      <c r="J78" s="129">
        <f t="shared" si="5"/>
        <v>4.4113233311776365E-3</v>
      </c>
      <c r="K78" s="126"/>
      <c r="L78" s="64">
        <f>H78/12</f>
        <v>32840</v>
      </c>
      <c r="M78" s="6"/>
      <c r="N78" s="65">
        <v>0.17899999999999999</v>
      </c>
      <c r="O78" s="112"/>
      <c r="P78" s="112"/>
      <c r="R78" s="6"/>
      <c r="S78" s="6"/>
      <c r="T78" s="6"/>
    </row>
    <row r="79" spans="1:20" s="9" customFormat="1" ht="15" customHeight="1">
      <c r="A79" s="52"/>
      <c r="B79" s="137"/>
      <c r="C79" s="73" t="s">
        <v>56</v>
      </c>
      <c r="D79" s="97"/>
      <c r="E79" s="131"/>
      <c r="F79" s="132"/>
      <c r="G79" s="126"/>
      <c r="H79" s="75">
        <v>1103200</v>
      </c>
      <c r="I79" s="126"/>
      <c r="J79" s="129">
        <f t="shared" si="5"/>
        <v>1.234919787595201E-2</v>
      </c>
      <c r="K79" s="126"/>
      <c r="L79" s="64">
        <f>H79/12</f>
        <v>91933.333333333328</v>
      </c>
      <c r="M79" s="6"/>
      <c r="N79" s="65">
        <v>0.17899999999999999</v>
      </c>
      <c r="O79" s="112"/>
      <c r="P79" s="112"/>
      <c r="R79" s="6"/>
      <c r="S79" s="6"/>
      <c r="T79" s="6"/>
    </row>
    <row r="80" spans="1:20" s="9" customFormat="1" ht="15" customHeight="1">
      <c r="A80" s="52"/>
      <c r="B80" s="137"/>
      <c r="C80" s="138" t="s">
        <v>57</v>
      </c>
      <c r="D80" s="139"/>
      <c r="E80" s="140"/>
      <c r="F80" s="140"/>
      <c r="G80" s="141"/>
      <c r="H80" s="81">
        <f>H81+H81/3</f>
        <v>252764.44444444441</v>
      </c>
      <c r="I80" s="126"/>
      <c r="J80" s="129">
        <f t="shared" si="5"/>
        <v>2.8294399387686028E-3</v>
      </c>
      <c r="K80" s="126"/>
      <c r="L80" s="64">
        <f>H80/12</f>
        <v>21063.703703703701</v>
      </c>
      <c r="M80" s="6"/>
      <c r="N80" s="65">
        <v>0.5</v>
      </c>
      <c r="O80" s="112"/>
      <c r="P80" s="112"/>
      <c r="R80" s="6"/>
      <c r="S80" s="6"/>
      <c r="T80" s="6"/>
    </row>
    <row r="81" spans="1:20" s="9" customFormat="1" ht="15" customHeight="1">
      <c r="A81" s="52"/>
      <c r="B81" s="137"/>
      <c r="C81" s="88" t="s">
        <v>58</v>
      </c>
      <c r="D81" s="97"/>
      <c r="E81" s="131"/>
      <c r="F81" s="132"/>
      <c r="G81" s="126"/>
      <c r="H81" s="75">
        <f>(H77/12)+(H78/12)+(H79/12)</f>
        <v>189573.33333333331</v>
      </c>
      <c r="I81" s="126"/>
      <c r="J81" s="129">
        <f t="shared" si="5"/>
        <v>2.1220799540764522E-3</v>
      </c>
      <c r="K81" s="126"/>
      <c r="L81" s="64">
        <f>H81/12</f>
        <v>15797.777777777776</v>
      </c>
      <c r="M81" s="6"/>
      <c r="N81" s="65">
        <v>0.5</v>
      </c>
      <c r="O81" s="112"/>
      <c r="P81" s="112"/>
      <c r="R81" s="6"/>
      <c r="S81" s="6"/>
      <c r="T81" s="6"/>
    </row>
    <row r="82" spans="1:20" s="9" customFormat="1" ht="15" customHeight="1">
      <c r="A82" s="52"/>
      <c r="B82" s="137"/>
      <c r="C82" s="6"/>
      <c r="D82" s="6"/>
      <c r="E82" s="7"/>
      <c r="F82" s="7"/>
      <c r="G82" s="7"/>
      <c r="H82" s="142"/>
      <c r="I82" s="7"/>
      <c r="J82" s="143"/>
      <c r="K82" s="7"/>
      <c r="L82" s="6"/>
      <c r="M82" s="6"/>
      <c r="N82" s="125"/>
      <c r="O82" s="112"/>
      <c r="P82" s="112"/>
      <c r="R82" s="6"/>
      <c r="S82" s="6"/>
      <c r="T82" s="6"/>
    </row>
    <row r="83" spans="1:20" s="9" customFormat="1" ht="15" customHeight="1">
      <c r="A83" s="52"/>
      <c r="B83" s="144" t="s">
        <v>59</v>
      </c>
      <c r="C83" s="144"/>
      <c r="D83" s="97"/>
      <c r="E83" s="131"/>
      <c r="F83" s="132"/>
      <c r="G83" s="126"/>
      <c r="H83" s="81">
        <f>SUM(H84:H96)</f>
        <v>3895200</v>
      </c>
      <c r="I83" s="126"/>
      <c r="J83" s="129">
        <f t="shared" ref="J83:J96" si="6">H83/$H$65</f>
        <v>4.3602787859325844E-2</v>
      </c>
      <c r="K83" s="126"/>
      <c r="L83" s="145">
        <f>SUM(L84:L96)</f>
        <v>324600</v>
      </c>
      <c r="M83" s="6"/>
      <c r="N83" s="125"/>
      <c r="O83" s="112"/>
      <c r="P83" s="112"/>
      <c r="R83" s="6"/>
      <c r="S83" s="6"/>
      <c r="T83" s="6"/>
    </row>
    <row r="84" spans="1:20" s="9" customFormat="1" ht="15" customHeight="1">
      <c r="A84" s="52"/>
      <c r="B84" s="146"/>
      <c r="C84" s="73" t="s">
        <v>60</v>
      </c>
      <c r="D84" s="97"/>
      <c r="E84" s="131"/>
      <c r="F84" s="132"/>
      <c r="G84" s="126"/>
      <c r="H84" s="75">
        <v>1200000</v>
      </c>
      <c r="I84" s="126"/>
      <c r="J84" s="129">
        <f t="shared" si="6"/>
        <v>1.3432775064487321E-2</v>
      </c>
      <c r="K84" s="126"/>
      <c r="L84" s="64">
        <f t="shared" ref="L84:L96" si="7">H84/12</f>
        <v>100000</v>
      </c>
      <c r="M84" s="6"/>
      <c r="N84" s="65">
        <v>0.5</v>
      </c>
      <c r="O84" s="112"/>
      <c r="P84" s="112"/>
      <c r="R84" s="6"/>
      <c r="S84" s="6"/>
      <c r="T84" s="6"/>
    </row>
    <row r="85" spans="1:20" s="9" customFormat="1" ht="15" customHeight="1">
      <c r="A85" s="52"/>
      <c r="B85" s="146"/>
      <c r="C85" s="76" t="s">
        <v>61</v>
      </c>
      <c r="D85" s="97"/>
      <c r="E85" s="131"/>
      <c r="F85" s="132"/>
      <c r="G85" s="126"/>
      <c r="H85" s="75">
        <v>840000</v>
      </c>
      <c r="I85" s="126"/>
      <c r="J85" s="129">
        <f t="shared" si="6"/>
        <v>9.4029425451411242E-3</v>
      </c>
      <c r="K85" s="126"/>
      <c r="L85" s="64">
        <f t="shared" si="7"/>
        <v>70000</v>
      </c>
      <c r="M85" s="6"/>
      <c r="N85" s="65">
        <v>0.3</v>
      </c>
      <c r="O85" s="112"/>
      <c r="P85" s="112"/>
      <c r="R85" s="6"/>
      <c r="S85" s="6"/>
      <c r="T85" s="6"/>
    </row>
    <row r="86" spans="1:20" s="9" customFormat="1" ht="15" customHeight="1">
      <c r="A86" s="52"/>
      <c r="B86" s="146"/>
      <c r="C86" s="76" t="s">
        <v>62</v>
      </c>
      <c r="D86" s="97"/>
      <c r="E86" s="131"/>
      <c r="F86" s="132"/>
      <c r="G86" s="126"/>
      <c r="H86" s="75">
        <v>378000</v>
      </c>
      <c r="I86" s="126"/>
      <c r="J86" s="129">
        <f t="shared" si="6"/>
        <v>4.2313241453135059E-3</v>
      </c>
      <c r="K86" s="126"/>
      <c r="L86" s="64">
        <f t="shared" si="7"/>
        <v>31500</v>
      </c>
      <c r="M86" s="6"/>
      <c r="N86" s="65">
        <v>0.1</v>
      </c>
      <c r="O86" s="112"/>
      <c r="P86" s="112"/>
      <c r="R86" s="6"/>
      <c r="S86" s="6"/>
      <c r="T86" s="6"/>
    </row>
    <row r="87" spans="1:20" s="9" customFormat="1" ht="15" customHeight="1">
      <c r="A87" s="52"/>
      <c r="B87" s="146"/>
      <c r="C87" s="76" t="s">
        <v>63</v>
      </c>
      <c r="D87" s="97"/>
      <c r="E87" s="131"/>
      <c r="F87" s="132"/>
      <c r="G87" s="126"/>
      <c r="H87" s="75">
        <v>24000</v>
      </c>
      <c r="I87" s="126"/>
      <c r="J87" s="129">
        <f t="shared" si="6"/>
        <v>2.6865550128974644E-4</v>
      </c>
      <c r="K87" s="126"/>
      <c r="L87" s="64">
        <f t="shared" si="7"/>
        <v>2000</v>
      </c>
      <c r="M87" s="6"/>
      <c r="N87" s="65"/>
      <c r="O87" s="112"/>
      <c r="P87" s="112"/>
      <c r="R87" s="6"/>
      <c r="S87" s="6"/>
      <c r="T87" s="6"/>
    </row>
    <row r="88" spans="1:20" s="9" customFormat="1" ht="15" customHeight="1">
      <c r="A88" s="52"/>
      <c r="B88" s="146"/>
      <c r="C88" s="76" t="s">
        <v>64</v>
      </c>
      <c r="D88" s="97"/>
      <c r="E88" s="131"/>
      <c r="F88" s="132"/>
      <c r="G88" s="126"/>
      <c r="H88" s="75">
        <v>43800</v>
      </c>
      <c r="I88" s="126"/>
      <c r="J88" s="129">
        <f t="shared" si="6"/>
        <v>4.9029628985378722E-4</v>
      </c>
      <c r="K88" s="126"/>
      <c r="L88" s="64">
        <f t="shared" si="7"/>
        <v>3650</v>
      </c>
      <c r="M88" s="6"/>
      <c r="N88" s="65">
        <v>0.1</v>
      </c>
      <c r="O88" s="112"/>
      <c r="P88" s="112"/>
      <c r="R88" s="6"/>
      <c r="S88" s="6"/>
      <c r="T88" s="6"/>
    </row>
    <row r="89" spans="1:20" s="9" customFormat="1" ht="15" customHeight="1">
      <c r="A89" s="52"/>
      <c r="B89" s="146"/>
      <c r="C89" s="76" t="s">
        <v>65</v>
      </c>
      <c r="D89" s="97"/>
      <c r="E89" s="131"/>
      <c r="F89" s="132"/>
      <c r="G89" s="126"/>
      <c r="H89" s="75">
        <v>225000</v>
      </c>
      <c r="I89" s="126"/>
      <c r="J89" s="129">
        <f t="shared" si="6"/>
        <v>2.5186453245913728E-3</v>
      </c>
      <c r="K89" s="126"/>
      <c r="L89" s="64">
        <f t="shared" si="7"/>
        <v>18750</v>
      </c>
      <c r="M89" s="6"/>
      <c r="N89" s="65">
        <v>0.25</v>
      </c>
      <c r="O89" s="112"/>
      <c r="P89" s="112"/>
      <c r="R89" s="6"/>
      <c r="S89" s="6"/>
      <c r="T89" s="6"/>
    </row>
    <row r="90" spans="1:20" s="9" customFormat="1" ht="15" customHeight="1">
      <c r="A90" s="52"/>
      <c r="B90" s="146"/>
      <c r="C90" s="76" t="s">
        <v>66</v>
      </c>
      <c r="D90" s="97"/>
      <c r="E90" s="131"/>
      <c r="F90" s="132"/>
      <c r="G90" s="126"/>
      <c r="H90" s="75">
        <v>92400</v>
      </c>
      <c r="I90" s="126"/>
      <c r="J90" s="129">
        <f t="shared" si="6"/>
        <v>1.0343236799655237E-3</v>
      </c>
      <c r="K90" s="126"/>
      <c r="L90" s="64">
        <f t="shared" si="7"/>
        <v>7700</v>
      </c>
      <c r="M90" s="6"/>
      <c r="N90" s="65">
        <v>0.3</v>
      </c>
      <c r="O90" s="112"/>
      <c r="P90" s="112"/>
      <c r="R90" s="6"/>
      <c r="S90" s="6"/>
      <c r="T90" s="6"/>
    </row>
    <row r="91" spans="1:20" s="9" customFormat="1" ht="15" customHeight="1">
      <c r="A91" s="52"/>
      <c r="B91" s="146"/>
      <c r="C91" s="76" t="s">
        <v>67</v>
      </c>
      <c r="D91" s="97"/>
      <c r="E91" s="131"/>
      <c r="F91" s="132"/>
      <c r="G91" s="126"/>
      <c r="H91" s="82">
        <v>180000</v>
      </c>
      <c r="I91" s="126"/>
      <c r="J91" s="129">
        <f t="shared" si="6"/>
        <v>2.014916259673098E-3</v>
      </c>
      <c r="K91" s="126"/>
      <c r="L91" s="64">
        <f t="shared" si="7"/>
        <v>15000</v>
      </c>
      <c r="M91" s="6"/>
      <c r="N91" s="65"/>
      <c r="O91" s="112"/>
      <c r="P91" s="112"/>
      <c r="R91" s="6"/>
      <c r="S91" s="6"/>
      <c r="T91" s="6"/>
    </row>
    <row r="92" spans="1:20" s="9" customFormat="1" ht="15" customHeight="1">
      <c r="A92" s="52"/>
      <c r="B92" s="146"/>
      <c r="C92" s="76" t="s">
        <v>68</v>
      </c>
      <c r="D92" s="97"/>
      <c r="E92" s="131"/>
      <c r="F92" s="132"/>
      <c r="G92" s="126"/>
      <c r="H92" s="82">
        <v>84000</v>
      </c>
      <c r="I92" s="126"/>
      <c r="J92" s="129">
        <f t="shared" si="6"/>
        <v>9.4029425451411242E-4</v>
      </c>
      <c r="K92" s="126"/>
      <c r="L92" s="64">
        <f t="shared" si="7"/>
        <v>7000</v>
      </c>
      <c r="M92" s="6"/>
      <c r="N92" s="125"/>
      <c r="O92" s="112"/>
      <c r="P92" s="112"/>
      <c r="R92" s="6"/>
      <c r="S92" s="6"/>
      <c r="T92" s="6"/>
    </row>
    <row r="93" spans="1:20" s="9" customFormat="1" ht="15" customHeight="1">
      <c r="A93" s="52"/>
      <c r="B93" s="146"/>
      <c r="C93" s="76" t="s">
        <v>69</v>
      </c>
      <c r="D93" s="97"/>
      <c r="E93" s="131"/>
      <c r="F93" s="132"/>
      <c r="G93" s="126"/>
      <c r="H93" s="82">
        <v>216000</v>
      </c>
      <c r="I93" s="126"/>
      <c r="J93" s="129">
        <f t="shared" si="6"/>
        <v>2.4178995116077178E-3</v>
      </c>
      <c r="K93" s="126"/>
      <c r="L93" s="64">
        <f t="shared" si="7"/>
        <v>18000</v>
      </c>
      <c r="M93" s="6"/>
      <c r="N93" s="125"/>
      <c r="O93" s="112"/>
      <c r="P93" s="112"/>
      <c r="R93" s="6"/>
      <c r="S93" s="6"/>
      <c r="T93" s="6"/>
    </row>
    <row r="94" spans="1:20" s="9" customFormat="1" ht="15" customHeight="1">
      <c r="A94" s="52"/>
      <c r="B94" s="146"/>
      <c r="C94" s="88" t="s">
        <v>70</v>
      </c>
      <c r="D94" s="97"/>
      <c r="E94" s="131"/>
      <c r="F94" s="132"/>
      <c r="G94" s="126"/>
      <c r="H94" s="82">
        <v>24000</v>
      </c>
      <c r="I94" s="126"/>
      <c r="J94" s="129">
        <f t="shared" si="6"/>
        <v>2.6865550128974644E-4</v>
      </c>
      <c r="K94" s="126"/>
      <c r="L94" s="64">
        <f t="shared" si="7"/>
        <v>2000</v>
      </c>
      <c r="M94" s="6"/>
      <c r="N94" s="125"/>
      <c r="O94" s="112"/>
      <c r="P94" s="112"/>
      <c r="R94" s="6"/>
      <c r="S94" s="6"/>
      <c r="T94" s="6"/>
    </row>
    <row r="95" spans="1:20" s="9" customFormat="1" ht="15" customHeight="1">
      <c r="A95" s="52"/>
      <c r="B95" s="146"/>
      <c r="C95" s="76" t="s">
        <v>71</v>
      </c>
      <c r="D95" s="97"/>
      <c r="E95" s="131"/>
      <c r="F95" s="132"/>
      <c r="G95" s="126"/>
      <c r="H95" s="75">
        <v>588000</v>
      </c>
      <c r="I95" s="126"/>
      <c r="J95" s="129">
        <f t="shared" si="6"/>
        <v>6.5820597815987869E-3</v>
      </c>
      <c r="K95" s="126"/>
      <c r="L95" s="64">
        <f t="shared" si="7"/>
        <v>49000</v>
      </c>
      <c r="M95" s="6"/>
      <c r="N95" s="65">
        <v>0.3</v>
      </c>
      <c r="O95" s="112"/>
      <c r="P95" s="112"/>
      <c r="R95" s="6"/>
      <c r="S95" s="6"/>
      <c r="T95" s="6"/>
    </row>
    <row r="96" spans="1:20" s="9" customFormat="1" ht="15" customHeight="1">
      <c r="A96" s="52"/>
      <c r="B96" s="146"/>
      <c r="C96" s="76" t="s">
        <v>72</v>
      </c>
      <c r="D96" s="97"/>
      <c r="E96" s="131"/>
      <c r="F96" s="132"/>
      <c r="G96" s="126"/>
      <c r="H96" s="81">
        <v>0</v>
      </c>
      <c r="I96" s="126"/>
      <c r="J96" s="129">
        <f t="shared" si="6"/>
        <v>0</v>
      </c>
      <c r="K96" s="126"/>
      <c r="L96" s="64">
        <f t="shared" si="7"/>
        <v>0</v>
      </c>
      <c r="M96" s="6"/>
      <c r="N96" s="125"/>
      <c r="O96" s="112"/>
      <c r="P96" s="112"/>
      <c r="R96" s="6"/>
      <c r="S96" s="6"/>
      <c r="T96" s="6"/>
    </row>
    <row r="97" spans="1:20" s="9" customFormat="1" ht="15" customHeight="1">
      <c r="A97" s="52"/>
      <c r="B97" s="146"/>
      <c r="C97" s="70"/>
      <c r="D97" s="42"/>
      <c r="E97" s="134"/>
      <c r="F97" s="126"/>
      <c r="G97" s="126"/>
      <c r="H97" s="135"/>
      <c r="I97" s="126"/>
      <c r="J97" s="69"/>
      <c r="K97" s="126"/>
      <c r="L97" s="70"/>
      <c r="M97" s="6"/>
      <c r="N97" s="125"/>
      <c r="O97" s="112"/>
      <c r="P97" s="112"/>
      <c r="R97" s="6"/>
      <c r="S97" s="6"/>
      <c r="T97" s="6"/>
    </row>
    <row r="98" spans="1:20" s="9" customFormat="1" ht="15" customHeight="1">
      <c r="A98" s="52"/>
      <c r="B98" s="147" t="s">
        <v>73</v>
      </c>
      <c r="C98" s="64"/>
      <c r="D98" s="103"/>
      <c r="E98" s="127"/>
      <c r="F98" s="128"/>
      <c r="G98" s="126"/>
      <c r="H98" s="62">
        <f>SUM(H99:H105)</f>
        <v>1501666.6666666667</v>
      </c>
      <c r="I98" s="126"/>
      <c r="J98" s="129">
        <f t="shared" ref="J98:J105" si="8">H98/$H$65</f>
        <v>1.6809625462643162E-2</v>
      </c>
      <c r="K98" s="126"/>
      <c r="L98" s="83">
        <f>SUM(L99:L105)</f>
        <v>125138.88888888889</v>
      </c>
      <c r="M98" s="6"/>
      <c r="N98" s="125"/>
      <c r="O98" s="112"/>
      <c r="P98" s="112"/>
      <c r="R98" s="6"/>
      <c r="S98" s="6"/>
      <c r="T98" s="6"/>
    </row>
    <row r="99" spans="1:20" s="9" customFormat="1" ht="15" customHeight="1">
      <c r="A99" s="52"/>
      <c r="B99" s="146"/>
      <c r="C99" s="88" t="s">
        <v>74</v>
      </c>
      <c r="D99" s="97"/>
      <c r="E99" s="131"/>
      <c r="F99" s="132"/>
      <c r="G99" s="126"/>
      <c r="H99" s="75">
        <v>768000</v>
      </c>
      <c r="I99" s="126"/>
      <c r="J99" s="129">
        <f t="shared" si="8"/>
        <v>8.5969760412718862E-3</v>
      </c>
      <c r="K99" s="126"/>
      <c r="L99" s="64">
        <f t="shared" ref="L99:L105" si="9">H99/12</f>
        <v>64000</v>
      </c>
      <c r="M99" s="6"/>
      <c r="N99" s="65">
        <v>0.2</v>
      </c>
      <c r="O99" s="112"/>
      <c r="P99" s="112"/>
      <c r="R99" s="6"/>
      <c r="S99" s="6"/>
      <c r="T99" s="6"/>
    </row>
    <row r="100" spans="1:20" s="9" customFormat="1" ht="15" customHeight="1">
      <c r="A100" s="52"/>
      <c r="B100" s="146"/>
      <c r="C100" s="88" t="s">
        <v>75</v>
      </c>
      <c r="D100" s="97"/>
      <c r="E100" s="131"/>
      <c r="F100" s="132"/>
      <c r="G100" s="126"/>
      <c r="H100" s="75">
        <v>126000</v>
      </c>
      <c r="I100" s="126"/>
      <c r="J100" s="129">
        <f t="shared" si="8"/>
        <v>1.4104413817711686E-3</v>
      </c>
      <c r="K100" s="126"/>
      <c r="L100" s="64">
        <f t="shared" si="9"/>
        <v>10500</v>
      </c>
      <c r="M100" s="6"/>
      <c r="N100" s="65">
        <v>0.3</v>
      </c>
      <c r="O100" s="112"/>
      <c r="P100" s="112"/>
      <c r="R100" s="6"/>
      <c r="S100" s="6"/>
      <c r="T100" s="6"/>
    </row>
    <row r="101" spans="1:20" s="9" customFormat="1" ht="15" customHeight="1">
      <c r="A101" s="52"/>
      <c r="B101" s="146"/>
      <c r="C101" s="88" t="s">
        <v>76</v>
      </c>
      <c r="D101" s="97"/>
      <c r="E101" s="131"/>
      <c r="F101" s="132"/>
      <c r="G101" s="126"/>
      <c r="H101" s="75">
        <v>96000</v>
      </c>
      <c r="I101" s="126"/>
      <c r="J101" s="129">
        <f t="shared" si="8"/>
        <v>1.0746220051589858E-3</v>
      </c>
      <c r="K101" s="126"/>
      <c r="L101" s="64">
        <f t="shared" si="9"/>
        <v>8000</v>
      </c>
      <c r="M101" s="6"/>
      <c r="N101" s="65">
        <v>0.2</v>
      </c>
      <c r="P101" s="112"/>
      <c r="R101" s="6"/>
      <c r="S101" s="6"/>
      <c r="T101" s="6"/>
    </row>
    <row r="102" spans="1:20" s="9" customFormat="1" ht="15" customHeight="1">
      <c r="A102" s="52"/>
      <c r="B102" s="146"/>
      <c r="C102" s="88" t="s">
        <v>77</v>
      </c>
      <c r="D102" s="97"/>
      <c r="E102" s="131"/>
      <c r="F102" s="132"/>
      <c r="G102" s="126"/>
      <c r="H102" s="75">
        <v>96000</v>
      </c>
      <c r="I102" s="126"/>
      <c r="J102" s="129">
        <f t="shared" si="8"/>
        <v>1.0746220051589858E-3</v>
      </c>
      <c r="K102" s="126"/>
      <c r="L102" s="64">
        <f t="shared" si="9"/>
        <v>8000</v>
      </c>
      <c r="M102" s="6"/>
      <c r="N102" s="65">
        <v>0.2</v>
      </c>
      <c r="O102" s="112"/>
      <c r="P102" s="112"/>
      <c r="R102" s="6"/>
      <c r="S102" s="6"/>
      <c r="T102" s="6"/>
    </row>
    <row r="103" spans="1:20" s="9" customFormat="1" ht="15" customHeight="1">
      <c r="A103" s="52"/>
      <c r="B103" s="146"/>
      <c r="C103" s="88" t="s">
        <v>78</v>
      </c>
      <c r="D103" s="97"/>
      <c r="E103" s="131"/>
      <c r="F103" s="132"/>
      <c r="G103" s="126"/>
      <c r="H103" s="75">
        <v>348000</v>
      </c>
      <c r="I103" s="126"/>
      <c r="J103" s="129">
        <f t="shared" si="8"/>
        <v>3.8955047687013232E-3</v>
      </c>
      <c r="K103" s="126"/>
      <c r="L103" s="64">
        <f t="shared" si="9"/>
        <v>29000</v>
      </c>
      <c r="M103" s="6"/>
      <c r="N103" s="125"/>
      <c r="O103" s="112"/>
      <c r="P103" s="112"/>
      <c r="R103" s="6"/>
      <c r="S103" s="6"/>
      <c r="T103" s="6"/>
    </row>
    <row r="104" spans="1:20" s="9" customFormat="1" ht="15" customHeight="1">
      <c r="A104" s="52"/>
      <c r="B104" s="146"/>
      <c r="C104" s="88" t="s">
        <v>79</v>
      </c>
      <c r="D104" s="97"/>
      <c r="E104" s="131"/>
      <c r="F104" s="132"/>
      <c r="G104" s="126"/>
      <c r="H104" s="81">
        <f>H105+H105/3</f>
        <v>38666.666666666664</v>
      </c>
      <c r="I104" s="126"/>
      <c r="J104" s="129">
        <f t="shared" si="8"/>
        <v>4.3283386318903585E-4</v>
      </c>
      <c r="K104" s="126"/>
      <c r="L104" s="64">
        <f t="shared" si="9"/>
        <v>3222.2222222222222</v>
      </c>
      <c r="M104" s="6"/>
      <c r="N104" s="125"/>
      <c r="O104" s="112"/>
      <c r="P104" s="112"/>
      <c r="R104" s="6"/>
      <c r="S104" s="6"/>
      <c r="T104" s="6"/>
    </row>
    <row r="105" spans="1:20" s="9" customFormat="1" ht="15" customHeight="1">
      <c r="A105" s="52"/>
      <c r="B105" s="146"/>
      <c r="C105" s="88" t="s">
        <v>80</v>
      </c>
      <c r="D105" s="97"/>
      <c r="E105" s="131"/>
      <c r="F105" s="132"/>
      <c r="G105" s="126"/>
      <c r="H105" s="81">
        <f>H103/12</f>
        <v>29000</v>
      </c>
      <c r="I105" s="126"/>
      <c r="J105" s="129">
        <f t="shared" si="8"/>
        <v>3.2462539739177692E-4</v>
      </c>
      <c r="K105" s="126"/>
      <c r="L105" s="64">
        <f t="shared" si="9"/>
        <v>2416.6666666666665</v>
      </c>
      <c r="M105" s="6"/>
      <c r="N105" s="125"/>
      <c r="O105" s="112"/>
      <c r="P105" s="112"/>
      <c r="R105" s="6"/>
      <c r="S105" s="6"/>
      <c r="T105" s="6"/>
    </row>
    <row r="106" spans="1:20" s="9" customFormat="1" ht="15" customHeight="1">
      <c r="A106" s="52"/>
      <c r="B106" s="146"/>
      <c r="C106" s="146"/>
      <c r="D106" s="42"/>
      <c r="E106" s="134"/>
      <c r="F106" s="126"/>
      <c r="G106" s="126"/>
      <c r="H106" s="135"/>
      <c r="I106" s="126"/>
      <c r="J106" s="69"/>
      <c r="K106" s="126"/>
      <c r="L106" s="134"/>
      <c r="M106" s="6"/>
      <c r="N106" s="125"/>
      <c r="O106" s="112"/>
      <c r="P106" s="112"/>
      <c r="R106" s="6"/>
      <c r="S106" s="6"/>
      <c r="T106" s="6"/>
    </row>
    <row r="107" spans="1:20" s="9" customFormat="1" ht="15" customHeight="1">
      <c r="A107" s="52"/>
      <c r="B107" s="147" t="s">
        <v>81</v>
      </c>
      <c r="C107" s="147"/>
      <c r="D107" s="103"/>
      <c r="E107" s="127"/>
      <c r="F107" s="128"/>
      <c r="G107" s="126"/>
      <c r="H107" s="62">
        <f>SUM(H108:H112)</f>
        <v>7249890</v>
      </c>
      <c r="I107" s="126"/>
      <c r="J107" s="129">
        <f t="shared" ref="J107:J112" si="10">H107/$H$65</f>
        <v>8.1155118010229982E-2</v>
      </c>
      <c r="K107" s="126"/>
      <c r="L107" s="130">
        <f>SUM(L108:L112)</f>
        <v>604157.5</v>
      </c>
      <c r="M107" s="6"/>
      <c r="N107" s="125"/>
      <c r="O107" s="112"/>
      <c r="P107" s="112"/>
      <c r="R107" s="6"/>
      <c r="S107" s="6"/>
      <c r="T107" s="6"/>
    </row>
    <row r="108" spans="1:20" s="9" customFormat="1" ht="15" customHeight="1">
      <c r="A108" s="52"/>
      <c r="B108" s="146"/>
      <c r="C108" s="76" t="s">
        <v>82</v>
      </c>
      <c r="D108" s="97"/>
      <c r="E108" s="131"/>
      <c r="F108" s="132"/>
      <c r="G108" s="126"/>
      <c r="H108" s="75">
        <v>2454890</v>
      </c>
      <c r="I108" s="126"/>
      <c r="J108" s="129">
        <f t="shared" si="10"/>
        <v>2.7479987648382734E-2</v>
      </c>
      <c r="K108" s="126"/>
      <c r="L108" s="64">
        <f>H108/12</f>
        <v>204574.16666666666</v>
      </c>
      <c r="M108" s="6"/>
      <c r="N108" s="65">
        <v>8.8999999999999996E-2</v>
      </c>
      <c r="O108" s="112"/>
      <c r="P108" s="112"/>
      <c r="R108" s="6"/>
      <c r="S108" s="6"/>
      <c r="T108" s="6"/>
    </row>
    <row r="109" spans="1:20" s="9" customFormat="1" ht="15" customHeight="1">
      <c r="A109" s="52"/>
      <c r="B109" s="22"/>
      <c r="C109" s="148" t="s">
        <v>83</v>
      </c>
      <c r="D109" s="97"/>
      <c r="E109" s="132"/>
      <c r="F109" s="132"/>
      <c r="G109" s="126"/>
      <c r="H109" s="75">
        <v>855000</v>
      </c>
      <c r="I109" s="126"/>
      <c r="J109" s="63">
        <f t="shared" si="10"/>
        <v>9.5708522334472159E-3</v>
      </c>
      <c r="K109" s="126"/>
      <c r="L109" s="91">
        <f>H109/12</f>
        <v>71250</v>
      </c>
      <c r="M109" s="6"/>
      <c r="N109" s="65">
        <v>0.05</v>
      </c>
      <c r="O109" s="112"/>
      <c r="P109" s="112"/>
      <c r="R109" s="6"/>
      <c r="S109" s="6"/>
      <c r="T109" s="6"/>
    </row>
    <row r="110" spans="1:20" s="9" customFormat="1" ht="15" customHeight="1">
      <c r="A110" s="52"/>
      <c r="B110" s="146"/>
      <c r="C110" s="76" t="s">
        <v>84</v>
      </c>
      <c r="D110" s="97"/>
      <c r="E110" s="131"/>
      <c r="F110" s="132"/>
      <c r="G110" s="126"/>
      <c r="H110" s="82">
        <v>720000</v>
      </c>
      <c r="I110" s="126"/>
      <c r="J110" s="129">
        <f t="shared" si="10"/>
        <v>8.0596650386923919E-3</v>
      </c>
      <c r="K110" s="126"/>
      <c r="L110" s="64">
        <f>H110/12</f>
        <v>60000</v>
      </c>
      <c r="M110" s="6"/>
      <c r="N110" s="125"/>
      <c r="O110" s="112"/>
      <c r="P110" s="112"/>
      <c r="R110" s="6"/>
      <c r="S110" s="6"/>
      <c r="T110" s="6"/>
    </row>
    <row r="111" spans="1:20" s="9" customFormat="1" ht="15" customHeight="1">
      <c r="A111" s="52"/>
      <c r="B111" s="146"/>
      <c r="C111" s="76" t="s">
        <v>85</v>
      </c>
      <c r="D111" s="97"/>
      <c r="E111" s="131"/>
      <c r="F111" s="132"/>
      <c r="G111" s="126"/>
      <c r="H111" s="82">
        <v>720000</v>
      </c>
      <c r="I111" s="126"/>
      <c r="J111" s="129">
        <f t="shared" si="10"/>
        <v>8.0596650386923919E-3</v>
      </c>
      <c r="K111" s="126"/>
      <c r="L111" s="64">
        <f>H111/12</f>
        <v>60000</v>
      </c>
      <c r="M111" s="6"/>
      <c r="N111" s="125"/>
      <c r="O111" s="112"/>
      <c r="P111" s="112"/>
      <c r="R111" s="6"/>
      <c r="S111" s="6"/>
      <c r="T111" s="6"/>
    </row>
    <row r="112" spans="1:20" s="9" customFormat="1" ht="15" customHeight="1">
      <c r="A112" s="52"/>
      <c r="B112" s="146"/>
      <c r="C112" s="88" t="s">
        <v>86</v>
      </c>
      <c r="D112" s="97"/>
      <c r="E112" s="131"/>
      <c r="F112" s="132"/>
      <c r="G112" s="126"/>
      <c r="H112" s="82">
        <v>2500000</v>
      </c>
      <c r="I112" s="126"/>
      <c r="J112" s="129">
        <f t="shared" si="10"/>
        <v>2.7984948051015254E-2</v>
      </c>
      <c r="K112" s="126"/>
      <c r="L112" s="64">
        <f>H112/12</f>
        <v>208333.33333333334</v>
      </c>
      <c r="M112" s="6"/>
      <c r="N112" s="125"/>
      <c r="O112" s="112"/>
      <c r="P112" s="112"/>
      <c r="R112" s="6"/>
      <c r="S112" s="6"/>
      <c r="T112" s="6"/>
    </row>
    <row r="113" spans="1:20" s="9" customFormat="1" ht="15" customHeight="1">
      <c r="A113" s="52"/>
      <c r="B113" s="146"/>
      <c r="C113" s="146"/>
      <c r="D113" s="42"/>
      <c r="E113" s="134"/>
      <c r="F113" s="126"/>
      <c r="G113" s="126"/>
      <c r="H113" s="68"/>
      <c r="I113" s="126"/>
      <c r="J113" s="69"/>
      <c r="K113" s="126"/>
      <c r="L113" s="134"/>
      <c r="M113" s="6"/>
      <c r="N113" s="125"/>
      <c r="O113" s="112"/>
      <c r="P113" s="112"/>
      <c r="R113" s="6"/>
      <c r="S113" s="6"/>
      <c r="T113" s="6"/>
    </row>
    <row r="114" spans="1:20" s="9" customFormat="1" ht="15" customHeight="1">
      <c r="A114" s="52"/>
      <c r="B114" s="147" t="s">
        <v>87</v>
      </c>
      <c r="C114" s="147"/>
      <c r="D114" s="103"/>
      <c r="E114" s="127"/>
      <c r="F114" s="128"/>
      <c r="G114" s="126"/>
      <c r="H114" s="130">
        <f>H115+H116+H117+H118</f>
        <v>1083666.6666666667</v>
      </c>
      <c r="I114" s="126"/>
      <c r="J114" s="129">
        <f>H114/$H$65</f>
        <v>1.2130542148513413E-2</v>
      </c>
      <c r="K114" s="126"/>
      <c r="L114" s="130">
        <f>L115+L116+L117+L118</f>
        <v>90305.555555555562</v>
      </c>
      <c r="M114" s="6"/>
      <c r="N114" s="125"/>
      <c r="O114" s="112"/>
      <c r="P114" s="112"/>
      <c r="R114" s="6"/>
      <c r="S114" s="6"/>
      <c r="T114" s="6"/>
    </row>
    <row r="115" spans="1:20" s="9" customFormat="1" ht="15" customHeight="1">
      <c r="A115" s="52"/>
      <c r="B115" s="146"/>
      <c r="C115" s="73" t="s">
        <v>88</v>
      </c>
      <c r="D115" s="97"/>
      <c r="E115" s="131"/>
      <c r="F115" s="132"/>
      <c r="G115" s="126"/>
      <c r="H115" s="75">
        <v>840000</v>
      </c>
      <c r="I115" s="126"/>
      <c r="J115" s="129">
        <f>H115/$H$65</f>
        <v>9.4029425451411242E-3</v>
      </c>
      <c r="K115" s="126"/>
      <c r="L115" s="64">
        <f>H115/12</f>
        <v>70000</v>
      </c>
      <c r="M115" s="6"/>
      <c r="N115" s="65">
        <v>0.3</v>
      </c>
      <c r="O115" s="112"/>
      <c r="P115" s="112"/>
      <c r="R115" s="6"/>
      <c r="S115" s="6"/>
      <c r="T115" s="6"/>
    </row>
    <row r="116" spans="1:20" s="9" customFormat="1" ht="15" customHeight="1">
      <c r="A116" s="52"/>
      <c r="B116" s="146"/>
      <c r="C116" s="88" t="s">
        <v>89</v>
      </c>
      <c r="D116" s="97"/>
      <c r="E116" s="131"/>
      <c r="F116" s="132"/>
      <c r="G116" s="126"/>
      <c r="H116" s="75">
        <v>204000</v>
      </c>
      <c r="I116" s="126"/>
      <c r="J116" s="129">
        <f>H116/$H$65</f>
        <v>2.2835717609628447E-3</v>
      </c>
      <c r="K116" s="126"/>
      <c r="L116" s="64">
        <f>H116/12</f>
        <v>17000</v>
      </c>
      <c r="M116" s="6"/>
      <c r="N116" s="125"/>
      <c r="O116" s="112"/>
      <c r="P116" s="112"/>
      <c r="R116" s="6"/>
      <c r="S116" s="6"/>
      <c r="T116" s="6"/>
    </row>
    <row r="117" spans="1:20" s="9" customFormat="1" ht="15" customHeight="1">
      <c r="A117" s="52"/>
      <c r="B117" s="146"/>
      <c r="C117" s="88" t="s">
        <v>57</v>
      </c>
      <c r="D117" s="97"/>
      <c r="E117" s="131"/>
      <c r="F117" s="132"/>
      <c r="G117" s="126"/>
      <c r="H117" s="81">
        <f>H118+H118/3</f>
        <v>22666.666666666668</v>
      </c>
      <c r="I117" s="126"/>
      <c r="J117" s="129">
        <f>H117/$H$65</f>
        <v>2.5373019566253828E-4</v>
      </c>
      <c r="K117" s="126"/>
      <c r="L117" s="64">
        <f>H117/12</f>
        <v>1888.8888888888889</v>
      </c>
      <c r="M117" s="6"/>
      <c r="N117" s="125"/>
      <c r="O117" s="112"/>
      <c r="P117" s="112"/>
      <c r="R117" s="6"/>
      <c r="S117" s="6"/>
      <c r="T117" s="6"/>
    </row>
    <row r="118" spans="1:20" s="9" customFormat="1" ht="15" customHeight="1">
      <c r="A118" s="52"/>
      <c r="B118" s="146"/>
      <c r="C118" s="88" t="s">
        <v>90</v>
      </c>
      <c r="D118" s="97"/>
      <c r="E118" s="131"/>
      <c r="F118" s="132"/>
      <c r="G118" s="126"/>
      <c r="H118" s="75">
        <f>H116/12</f>
        <v>17000</v>
      </c>
      <c r="I118" s="126"/>
      <c r="J118" s="129">
        <f>H118/$H$65</f>
        <v>1.9029764674690372E-4</v>
      </c>
      <c r="K118" s="126"/>
      <c r="L118" s="64">
        <f>H118/12</f>
        <v>1416.6666666666667</v>
      </c>
      <c r="M118" s="6"/>
      <c r="N118" s="125"/>
      <c r="O118" s="112"/>
      <c r="P118" s="112"/>
      <c r="R118" s="6"/>
      <c r="S118" s="6"/>
      <c r="T118" s="6"/>
    </row>
    <row r="119" spans="1:20" s="9" customFormat="1" ht="15" customHeight="1">
      <c r="A119" s="52"/>
      <c r="B119" s="146"/>
      <c r="C119" s="146"/>
      <c r="D119" s="42"/>
      <c r="E119" s="134"/>
      <c r="F119" s="126"/>
      <c r="G119" s="126"/>
      <c r="H119" s="135"/>
      <c r="I119" s="126"/>
      <c r="J119" s="149"/>
      <c r="K119" s="126"/>
      <c r="L119" s="134"/>
      <c r="M119" s="6"/>
      <c r="N119" s="125"/>
      <c r="O119" s="112"/>
      <c r="P119" s="112"/>
      <c r="R119" s="6"/>
      <c r="S119" s="6"/>
      <c r="T119" s="6"/>
    </row>
    <row r="120" spans="1:20" s="9" customFormat="1" ht="15" customHeight="1">
      <c r="A120" s="52"/>
      <c r="B120" s="144" t="s">
        <v>91</v>
      </c>
      <c r="C120" s="144"/>
      <c r="D120" s="97"/>
      <c r="E120" s="131"/>
      <c r="F120" s="132"/>
      <c r="G120" s="126"/>
      <c r="H120" s="81">
        <f>SUM(H121:H136)</f>
        <v>62046762.943333335</v>
      </c>
      <c r="I120" s="126"/>
      <c r="J120" s="129">
        <f t="shared" ref="J120:J129" si="11">H120/$H$65</f>
        <v>0.69455017508113659</v>
      </c>
      <c r="K120" s="126"/>
      <c r="L120" s="145">
        <f>SUM(L121:L136)</f>
        <v>5170563.5786111122</v>
      </c>
      <c r="M120" s="6"/>
      <c r="N120" s="125"/>
      <c r="O120" s="112"/>
      <c r="P120" s="112"/>
      <c r="R120" s="6"/>
      <c r="S120" s="6"/>
      <c r="T120" s="6"/>
    </row>
    <row r="121" spans="1:20" s="9" customFormat="1" ht="15" customHeight="1">
      <c r="A121" s="52"/>
      <c r="B121" s="146"/>
      <c r="C121" s="73" t="s">
        <v>92</v>
      </c>
      <c r="D121" s="97"/>
      <c r="E121" s="131"/>
      <c r="F121" s="132"/>
      <c r="G121" s="126"/>
      <c r="H121" s="75">
        <v>19250000</v>
      </c>
      <c r="I121" s="126"/>
      <c r="J121" s="129">
        <f t="shared" si="11"/>
        <v>0.21548409999281745</v>
      </c>
      <c r="K121" s="126"/>
      <c r="L121" s="64">
        <f t="shared" ref="L121:L136" si="12">H121/12</f>
        <v>1604166.6666666667</v>
      </c>
      <c r="M121" s="6"/>
      <c r="N121" s="65">
        <v>8.3299999999999999E-2</v>
      </c>
      <c r="O121" s="112"/>
      <c r="P121" s="112"/>
      <c r="R121" s="6"/>
      <c r="S121" s="6"/>
      <c r="T121" s="6"/>
    </row>
    <row r="122" spans="1:20" s="9" customFormat="1" ht="15" customHeight="1">
      <c r="A122" s="52"/>
      <c r="B122" s="146"/>
      <c r="C122" s="73" t="s">
        <v>93</v>
      </c>
      <c r="D122" s="97"/>
      <c r="E122" s="131"/>
      <c r="F122" s="132"/>
      <c r="G122" s="126"/>
      <c r="H122" s="75">
        <v>13340000</v>
      </c>
      <c r="I122" s="126"/>
      <c r="J122" s="129">
        <f t="shared" si="11"/>
        <v>0.14932768280021738</v>
      </c>
      <c r="K122" s="126"/>
      <c r="L122" s="64">
        <f t="shared" si="12"/>
        <v>1111666.6666666667</v>
      </c>
      <c r="M122" s="6"/>
      <c r="N122" s="65">
        <v>3.3300000000000003E-2</v>
      </c>
      <c r="O122" s="112"/>
      <c r="P122" s="112"/>
      <c r="R122" s="6"/>
      <c r="S122" s="6"/>
      <c r="T122" s="6"/>
    </row>
    <row r="123" spans="1:20" s="9" customFormat="1" ht="15" customHeight="1">
      <c r="A123" s="52"/>
      <c r="B123" s="146"/>
      <c r="C123" s="73" t="s">
        <v>94</v>
      </c>
      <c r="D123" s="97"/>
      <c r="E123" s="131"/>
      <c r="F123" s="132"/>
      <c r="G123" s="126"/>
      <c r="H123" s="75">
        <v>4218500</v>
      </c>
      <c r="I123" s="126"/>
      <c r="J123" s="129">
        <f t="shared" si="11"/>
        <v>4.7221801341283134E-2</v>
      </c>
      <c r="K123" s="126"/>
      <c r="L123" s="64">
        <f t="shared" si="12"/>
        <v>351541.66666666669</v>
      </c>
      <c r="M123" s="6"/>
      <c r="N123" s="65">
        <v>6.25E-2</v>
      </c>
      <c r="O123" s="112"/>
      <c r="P123" s="112"/>
      <c r="R123" s="6"/>
      <c r="S123" s="6"/>
      <c r="T123" s="6"/>
    </row>
    <row r="124" spans="1:20" s="9" customFormat="1" ht="15" customHeight="1">
      <c r="A124" s="52"/>
      <c r="B124" s="146"/>
      <c r="C124" s="73" t="s">
        <v>95</v>
      </c>
      <c r="D124" s="97"/>
      <c r="E124" s="131"/>
      <c r="F124" s="132"/>
      <c r="G124" s="126"/>
      <c r="H124" s="75">
        <v>2200080</v>
      </c>
      <c r="I124" s="126"/>
      <c r="J124" s="129">
        <f t="shared" si="11"/>
        <v>2.4627649803231053E-2</v>
      </c>
      <c r="K124" s="126"/>
      <c r="L124" s="64">
        <f t="shared" si="12"/>
        <v>183340</v>
      </c>
      <c r="M124" s="6"/>
      <c r="N124" s="65">
        <v>8.3299999999999999E-2</v>
      </c>
      <c r="O124" s="112"/>
      <c r="P124" s="112"/>
      <c r="R124" s="6"/>
      <c r="S124" s="6"/>
      <c r="T124" s="6"/>
    </row>
    <row r="125" spans="1:20" s="9" customFormat="1" ht="15" customHeight="1">
      <c r="A125" s="52"/>
      <c r="B125" s="146"/>
      <c r="C125" s="73" t="s">
        <v>96</v>
      </c>
      <c r="D125" s="97"/>
      <c r="E125" s="131"/>
      <c r="F125" s="132"/>
      <c r="G125" s="126"/>
      <c r="H125" s="75">
        <v>385000</v>
      </c>
      <c r="I125" s="126"/>
      <c r="J125" s="129">
        <f t="shared" si="11"/>
        <v>4.3096819998563489E-3</v>
      </c>
      <c r="K125" s="126"/>
      <c r="L125" s="64">
        <f t="shared" si="12"/>
        <v>32083.333333333332</v>
      </c>
      <c r="M125" s="6"/>
      <c r="N125" s="65">
        <v>8.3299999999999999E-2</v>
      </c>
      <c r="O125" s="112"/>
      <c r="P125" s="112"/>
      <c r="R125" s="6"/>
      <c r="S125" s="6"/>
      <c r="T125" s="6"/>
    </row>
    <row r="126" spans="1:20" s="9" customFormat="1" ht="15" customHeight="1">
      <c r="A126" s="52"/>
      <c r="B126" s="146"/>
      <c r="C126" s="73" t="s">
        <v>97</v>
      </c>
      <c r="D126" s="97"/>
      <c r="E126" s="131"/>
      <c r="F126" s="132"/>
      <c r="G126" s="126"/>
      <c r="H126" s="75">
        <v>1440000</v>
      </c>
      <c r="I126" s="126"/>
      <c r="J126" s="129">
        <f t="shared" si="11"/>
        <v>1.6119330077384784E-2</v>
      </c>
      <c r="K126" s="126"/>
      <c r="L126" s="64">
        <f t="shared" si="12"/>
        <v>120000</v>
      </c>
      <c r="M126" s="6"/>
      <c r="N126" s="125"/>
      <c r="O126" s="112"/>
      <c r="P126" s="112"/>
      <c r="R126" s="6"/>
      <c r="S126" s="6"/>
      <c r="T126" s="6"/>
    </row>
    <row r="127" spans="1:20" s="9" customFormat="1" ht="15" customHeight="1">
      <c r="A127" s="52"/>
      <c r="B127" s="146"/>
      <c r="C127" s="73" t="s">
        <v>98</v>
      </c>
      <c r="D127" s="97"/>
      <c r="E127" s="131"/>
      <c r="F127" s="132"/>
      <c r="G127" s="126"/>
      <c r="H127" s="75">
        <v>4914000</v>
      </c>
      <c r="I127" s="126"/>
      <c r="J127" s="129">
        <f t="shared" si="11"/>
        <v>5.5007213889075576E-2</v>
      </c>
      <c r="K127" s="126"/>
      <c r="L127" s="64">
        <f t="shared" si="12"/>
        <v>409500</v>
      </c>
      <c r="M127" s="6"/>
      <c r="N127" s="65">
        <v>0.37</v>
      </c>
      <c r="O127" s="112"/>
      <c r="P127" s="112"/>
      <c r="R127" s="6"/>
      <c r="S127" s="6"/>
      <c r="T127" s="6"/>
    </row>
    <row r="128" spans="1:20" s="9" customFormat="1" ht="15" customHeight="1">
      <c r="A128" s="52"/>
      <c r="B128" s="146"/>
      <c r="C128" s="76" t="s">
        <v>99</v>
      </c>
      <c r="D128" s="98"/>
      <c r="E128" s="150"/>
      <c r="F128" s="150"/>
      <c r="G128" s="7"/>
      <c r="H128" s="75">
        <v>1800000</v>
      </c>
      <c r="I128" s="7"/>
      <c r="J128" s="129">
        <f t="shared" si="11"/>
        <v>2.0149162596730982E-2</v>
      </c>
      <c r="K128" s="7"/>
      <c r="L128" s="64">
        <f t="shared" si="12"/>
        <v>150000</v>
      </c>
      <c r="M128" s="6"/>
      <c r="N128" s="125"/>
      <c r="O128" s="112"/>
      <c r="P128" s="112"/>
      <c r="R128" s="6"/>
      <c r="S128" s="6"/>
      <c r="T128" s="6"/>
    </row>
    <row r="129" spans="1:20" s="9" customFormat="1" ht="15" customHeight="1">
      <c r="A129" s="52"/>
      <c r="B129" s="146"/>
      <c r="C129" s="76" t="s">
        <v>100</v>
      </c>
      <c r="D129" s="97"/>
      <c r="E129" s="131"/>
      <c r="F129" s="132"/>
      <c r="G129" s="126"/>
      <c r="H129" s="75">
        <v>3600000</v>
      </c>
      <c r="I129" s="126"/>
      <c r="J129" s="129">
        <f t="shared" si="11"/>
        <v>4.0298325193461965E-2</v>
      </c>
      <c r="K129" s="126"/>
      <c r="L129" s="64">
        <f t="shared" si="12"/>
        <v>300000</v>
      </c>
      <c r="M129" s="6"/>
      <c r="N129" s="125"/>
      <c r="O129" s="112"/>
      <c r="P129" s="112"/>
      <c r="R129" s="6"/>
      <c r="S129" s="6"/>
      <c r="T129" s="6"/>
    </row>
    <row r="130" spans="1:20" s="9" customFormat="1" ht="15" customHeight="1">
      <c r="A130" s="52"/>
      <c r="B130" s="146"/>
      <c r="C130" s="76" t="s">
        <v>101</v>
      </c>
      <c r="D130" s="97"/>
      <c r="E130" s="131"/>
      <c r="F130" s="132"/>
      <c r="G130" s="126"/>
      <c r="H130" s="81">
        <v>0</v>
      </c>
      <c r="I130" s="126"/>
      <c r="J130" s="149"/>
      <c r="K130" s="126"/>
      <c r="L130" s="64">
        <f t="shared" si="12"/>
        <v>0</v>
      </c>
      <c r="M130" s="6"/>
      <c r="N130" s="125"/>
      <c r="O130" s="112"/>
      <c r="P130" s="112"/>
      <c r="R130" s="6"/>
      <c r="S130" s="6"/>
      <c r="T130" s="6"/>
    </row>
    <row r="131" spans="1:20" s="9" customFormat="1" ht="15" customHeight="1">
      <c r="A131" s="52"/>
      <c r="B131" s="146"/>
      <c r="C131" s="88" t="s">
        <v>57</v>
      </c>
      <c r="D131" s="97"/>
      <c r="E131" s="131"/>
      <c r="F131" s="132"/>
      <c r="G131" s="126"/>
      <c r="H131" s="81">
        <v>4048784.61</v>
      </c>
      <c r="I131" s="126"/>
      <c r="J131" s="129">
        <f t="shared" ref="J131:J136" si="13">H131/$H$65</f>
        <v>4.5322010792240019E-2</v>
      </c>
      <c r="K131" s="126"/>
      <c r="L131" s="64">
        <f t="shared" si="12"/>
        <v>337398.71749999997</v>
      </c>
      <c r="M131" s="6"/>
      <c r="N131" s="65">
        <v>7.4999999999999997E-2</v>
      </c>
      <c r="O131" s="112"/>
      <c r="P131" s="112"/>
      <c r="R131" s="6"/>
      <c r="S131" s="6"/>
      <c r="T131" s="6"/>
    </row>
    <row r="132" spans="1:20" s="9" customFormat="1" ht="15" customHeight="1">
      <c r="A132" s="52"/>
      <c r="B132" s="146"/>
      <c r="C132" s="88" t="s">
        <v>90</v>
      </c>
      <c r="D132" s="97"/>
      <c r="E132" s="131"/>
      <c r="F132" s="132"/>
      <c r="G132" s="126"/>
      <c r="H132" s="81">
        <f>H121/12+H122/12+H123/12+H124/12+H125/12</f>
        <v>3282798.3333333335</v>
      </c>
      <c r="I132" s="126"/>
      <c r="J132" s="129">
        <f t="shared" si="13"/>
        <v>3.6747576328117114E-2</v>
      </c>
      <c r="K132" s="126"/>
      <c r="L132" s="64">
        <f t="shared" si="12"/>
        <v>273566.52777777781</v>
      </c>
      <c r="M132" s="6"/>
      <c r="N132" s="125"/>
      <c r="O132" s="112"/>
      <c r="P132" s="112"/>
      <c r="R132" s="6"/>
      <c r="S132" s="6"/>
      <c r="T132" s="6"/>
    </row>
    <row r="133" spans="1:20" s="9" customFormat="1" ht="15" customHeight="1">
      <c r="A133" s="52"/>
      <c r="B133" s="146"/>
      <c r="C133" s="88" t="s">
        <v>102</v>
      </c>
      <c r="D133" s="97"/>
      <c r="E133" s="131"/>
      <c r="F133" s="132"/>
      <c r="G133" s="126"/>
      <c r="H133" s="75">
        <v>576000</v>
      </c>
      <c r="I133" s="126"/>
      <c r="J133" s="129">
        <f t="shared" si="13"/>
        <v>6.4477320309539142E-3</v>
      </c>
      <c r="K133" s="126"/>
      <c r="L133" s="64">
        <f t="shared" si="12"/>
        <v>48000</v>
      </c>
      <c r="M133" s="6"/>
      <c r="N133" s="65">
        <v>0.2</v>
      </c>
      <c r="O133" s="112"/>
      <c r="P133" s="112"/>
      <c r="R133" s="6"/>
      <c r="S133" s="6"/>
      <c r="T133" s="6"/>
    </row>
    <row r="134" spans="1:20" s="9" customFormat="1" ht="15" customHeight="1">
      <c r="A134" s="52"/>
      <c r="B134" s="146"/>
      <c r="C134" s="88" t="s">
        <v>103</v>
      </c>
      <c r="D134" s="97"/>
      <c r="E134" s="131"/>
      <c r="F134" s="132"/>
      <c r="G134" s="126"/>
      <c r="H134" s="75">
        <v>384000</v>
      </c>
      <c r="I134" s="126"/>
      <c r="J134" s="129">
        <f t="shared" si="13"/>
        <v>4.2984880206359431E-3</v>
      </c>
      <c r="K134" s="126"/>
      <c r="L134" s="64">
        <f t="shared" si="12"/>
        <v>32000</v>
      </c>
      <c r="M134" s="6"/>
      <c r="N134" s="65">
        <v>0.2</v>
      </c>
      <c r="O134" s="112"/>
      <c r="P134" s="112"/>
      <c r="R134" s="6"/>
      <c r="S134" s="6"/>
      <c r="T134" s="6"/>
    </row>
    <row r="135" spans="1:20" s="9" customFormat="1" ht="15" customHeight="1">
      <c r="A135" s="52"/>
      <c r="B135" s="146"/>
      <c r="C135" s="88" t="s">
        <v>104</v>
      </c>
      <c r="D135" s="97"/>
      <c r="E135" s="131"/>
      <c r="F135" s="132"/>
      <c r="G135" s="126"/>
      <c r="H135" s="75">
        <v>177600</v>
      </c>
      <c r="I135" s="126"/>
      <c r="J135" s="129">
        <f t="shared" si="13"/>
        <v>1.9880507095441234E-3</v>
      </c>
      <c r="K135" s="126"/>
      <c r="L135" s="64">
        <f t="shared" si="12"/>
        <v>14800</v>
      </c>
      <c r="M135" s="6"/>
      <c r="N135" s="125"/>
      <c r="O135" s="112"/>
      <c r="P135" s="112"/>
      <c r="R135" s="6"/>
      <c r="S135" s="6"/>
      <c r="T135" s="6"/>
    </row>
    <row r="136" spans="1:20" s="9" customFormat="1" ht="15" customHeight="1">
      <c r="A136" s="52"/>
      <c r="B136" s="146"/>
      <c r="C136" s="76" t="s">
        <v>105</v>
      </c>
      <c r="D136" s="97"/>
      <c r="E136" s="131"/>
      <c r="F136" s="132"/>
      <c r="G136" s="126"/>
      <c r="H136" s="75">
        <v>2430000</v>
      </c>
      <c r="I136" s="126"/>
      <c r="J136" s="129">
        <f t="shared" si="13"/>
        <v>2.7201369505586825E-2</v>
      </c>
      <c r="K136" s="126"/>
      <c r="L136" s="64">
        <f t="shared" si="12"/>
        <v>202500</v>
      </c>
      <c r="M136" s="6"/>
      <c r="N136" s="65">
        <v>0.1</v>
      </c>
      <c r="O136" s="112"/>
      <c r="P136" s="112"/>
      <c r="R136" s="6"/>
      <c r="S136" s="6"/>
      <c r="T136" s="6"/>
    </row>
    <row r="137" spans="1:20" s="9" customFormat="1" ht="15" customHeight="1">
      <c r="A137" s="52"/>
      <c r="B137" s="146"/>
      <c r="C137" s="133"/>
      <c r="D137" s="42"/>
      <c r="E137" s="134"/>
      <c r="F137" s="126"/>
      <c r="G137" s="126"/>
      <c r="H137" s="68"/>
      <c r="I137" s="126"/>
      <c r="J137" s="69"/>
      <c r="K137" s="126"/>
      <c r="L137" s="70"/>
      <c r="M137" s="6"/>
      <c r="N137" s="125"/>
      <c r="O137" s="112">
        <v>5</v>
      </c>
      <c r="P137" s="112"/>
      <c r="R137" s="6"/>
      <c r="S137" s="6"/>
      <c r="T137" s="6"/>
    </row>
    <row r="138" spans="1:20" s="9" customFormat="1" ht="15" customHeight="1">
      <c r="A138" s="52"/>
      <c r="B138" s="147" t="s">
        <v>106</v>
      </c>
      <c r="C138" s="64"/>
      <c r="D138" s="103"/>
      <c r="E138" s="127"/>
      <c r="F138" s="128"/>
      <c r="G138" s="126"/>
      <c r="H138" s="64">
        <f>SUM(H139:H144)</f>
        <v>2799833.333333333</v>
      </c>
      <c r="I138" s="126"/>
      <c r="J138" s="129">
        <f t="shared" ref="J138:J144" si="14">H138/$H$65</f>
        <v>3.134127615393368E-2</v>
      </c>
      <c r="K138" s="126"/>
      <c r="L138" s="64">
        <f>SUM(L139:L144)</f>
        <v>233319.44444444447</v>
      </c>
      <c r="M138" s="6"/>
      <c r="N138" s="125"/>
      <c r="O138" s="112"/>
      <c r="P138" s="112"/>
      <c r="R138" s="6"/>
      <c r="S138" s="6"/>
      <c r="T138" s="6"/>
    </row>
    <row r="139" spans="1:20" s="9" customFormat="1" ht="15" customHeight="1">
      <c r="A139" s="52"/>
      <c r="B139" s="146"/>
      <c r="C139" s="73" t="s">
        <v>107</v>
      </c>
      <c r="D139" s="97"/>
      <c r="E139" s="131"/>
      <c r="F139" s="132"/>
      <c r="G139" s="126"/>
      <c r="H139" s="82">
        <v>504000</v>
      </c>
      <c r="I139" s="126"/>
      <c r="J139" s="129">
        <f t="shared" si="14"/>
        <v>5.6417655270846745E-3</v>
      </c>
      <c r="K139" s="126"/>
      <c r="L139" s="64">
        <f t="shared" ref="L139:L144" si="15">H139/12</f>
        <v>42000</v>
      </c>
      <c r="M139" s="6"/>
      <c r="N139" s="125"/>
      <c r="O139" s="112"/>
      <c r="P139" s="112"/>
      <c r="R139" s="6"/>
      <c r="S139" s="6"/>
      <c r="T139" s="6"/>
    </row>
    <row r="140" spans="1:20" s="9" customFormat="1" ht="15" customHeight="1">
      <c r="A140" s="52"/>
      <c r="B140" s="146"/>
      <c r="C140" s="88" t="s">
        <v>108</v>
      </c>
      <c r="D140" s="97"/>
      <c r="E140" s="131"/>
      <c r="F140" s="132"/>
      <c r="G140" s="126"/>
      <c r="H140" s="82">
        <v>150000</v>
      </c>
      <c r="I140" s="126"/>
      <c r="J140" s="129">
        <f t="shared" si="14"/>
        <v>1.6790968830609151E-3</v>
      </c>
      <c r="K140" s="126"/>
      <c r="L140" s="64">
        <f t="shared" si="15"/>
        <v>12500</v>
      </c>
      <c r="M140" s="6"/>
      <c r="N140" s="125"/>
      <c r="O140" s="112"/>
      <c r="P140" s="112"/>
      <c r="R140" s="6"/>
      <c r="S140" s="6"/>
      <c r="T140" s="6"/>
    </row>
    <row r="141" spans="1:20" ht="15" customHeight="1">
      <c r="A141" s="52"/>
      <c r="B141" s="146"/>
      <c r="C141" s="88" t="s">
        <v>109</v>
      </c>
      <c r="D141" s="97"/>
      <c r="E141" s="131"/>
      <c r="F141" s="132"/>
      <c r="G141" s="126"/>
      <c r="H141" s="82">
        <v>1104000</v>
      </c>
      <c r="I141" s="126"/>
      <c r="J141" s="129">
        <f t="shared" si="14"/>
        <v>1.2358153059328336E-2</v>
      </c>
      <c r="K141" s="126"/>
      <c r="L141" s="64">
        <f t="shared" si="15"/>
        <v>92000</v>
      </c>
      <c r="N141" s="125"/>
      <c r="O141" s="112"/>
      <c r="P141" s="112"/>
    </row>
    <row r="142" spans="1:20" ht="15" customHeight="1">
      <c r="A142" s="52"/>
      <c r="B142" s="146"/>
      <c r="C142" s="88" t="s">
        <v>57</v>
      </c>
      <c r="D142" s="97"/>
      <c r="E142" s="131"/>
      <c r="F142" s="132"/>
      <c r="G142" s="126"/>
      <c r="H142" s="101">
        <f>H143+H143/3</f>
        <v>195333.33333333334</v>
      </c>
      <c r="I142" s="126"/>
      <c r="J142" s="129">
        <f t="shared" si="14"/>
        <v>2.1865572743859918E-3</v>
      </c>
      <c r="K142" s="126"/>
      <c r="L142" s="64">
        <f t="shared" si="15"/>
        <v>16277.777777777779</v>
      </c>
      <c r="N142" s="125"/>
      <c r="R142" s="151">
        <f>H142+H131+H117+H80+H104</f>
        <v>4558215.7211111113</v>
      </c>
      <c r="S142" s="151" t="e">
        <f>#NAME?</f>
        <v>#NAME?</v>
      </c>
    </row>
    <row r="143" spans="1:20" ht="15" customHeight="1">
      <c r="A143" s="52"/>
      <c r="B143" s="146"/>
      <c r="C143" s="88" t="s">
        <v>90</v>
      </c>
      <c r="D143" s="97"/>
      <c r="E143" s="131"/>
      <c r="F143" s="132"/>
      <c r="G143" s="126"/>
      <c r="H143" s="82">
        <f>H139/12+H140/12+H141/12</f>
        <v>146500</v>
      </c>
      <c r="I143" s="126"/>
      <c r="J143" s="129">
        <f t="shared" si="14"/>
        <v>1.6399179557894938E-3</v>
      </c>
      <c r="K143" s="126"/>
      <c r="L143" s="64">
        <f t="shared" si="15"/>
        <v>12208.333333333334</v>
      </c>
      <c r="N143" s="125"/>
      <c r="R143" s="151">
        <f>H143+H132+H118+H81+H105</f>
        <v>3664871.666666667</v>
      </c>
      <c r="S143" s="152"/>
    </row>
    <row r="144" spans="1:20" ht="15" customHeight="1">
      <c r="A144" s="52"/>
      <c r="B144" s="146"/>
      <c r="C144" s="138" t="s">
        <v>110</v>
      </c>
      <c r="D144" s="139"/>
      <c r="E144" s="140"/>
      <c r="F144" s="140"/>
      <c r="G144" s="141"/>
      <c r="H144" s="75">
        <v>700000</v>
      </c>
      <c r="I144" s="141"/>
      <c r="J144" s="86">
        <f t="shared" si="14"/>
        <v>7.8357854542842713E-3</v>
      </c>
      <c r="K144" s="141"/>
      <c r="L144" s="153">
        <f t="shared" si="15"/>
        <v>58333.333333333336</v>
      </c>
      <c r="N144" s="125"/>
      <c r="R144" s="151"/>
      <c r="S144" s="152"/>
    </row>
    <row r="145" spans="1:16" ht="15" customHeight="1">
      <c r="A145" s="52"/>
      <c r="B145" s="146"/>
      <c r="C145" s="79"/>
      <c r="D145" s="42"/>
      <c r="E145" s="134"/>
      <c r="F145" s="126"/>
      <c r="G145" s="126"/>
      <c r="H145" s="68"/>
      <c r="I145" s="126"/>
      <c r="J145" s="92"/>
      <c r="K145" s="126"/>
      <c r="L145" s="70"/>
      <c r="N145" s="125"/>
      <c r="O145" s="112"/>
      <c r="P145" s="112"/>
    </row>
    <row r="146" spans="1:16" ht="15" customHeight="1">
      <c r="A146" s="52"/>
      <c r="B146" s="147" t="s">
        <v>111</v>
      </c>
      <c r="C146" s="147"/>
      <c r="D146" s="154"/>
      <c r="E146" s="127"/>
      <c r="F146" s="127"/>
      <c r="G146" s="134"/>
      <c r="H146" s="130">
        <v>0</v>
      </c>
      <c r="I146" s="134"/>
      <c r="J146" s="155"/>
      <c r="K146" s="134"/>
      <c r="L146" s="130">
        <v>0</v>
      </c>
      <c r="N146" s="125"/>
      <c r="O146" s="112"/>
      <c r="P146" s="112"/>
    </row>
    <row r="147" spans="1:16" ht="15" customHeight="1">
      <c r="A147" s="52"/>
      <c r="B147" s="42"/>
      <c r="C147" s="42"/>
      <c r="D147" s="42"/>
      <c r="E147" s="126"/>
      <c r="F147" s="126"/>
      <c r="G147" s="126"/>
      <c r="H147" s="68"/>
      <c r="I147" s="126"/>
      <c r="J147" s="156"/>
      <c r="K147" s="126"/>
      <c r="L147" s="126"/>
      <c r="N147" s="125"/>
      <c r="O147" s="112"/>
      <c r="P147" s="112"/>
    </row>
    <row r="148" spans="1:16" ht="15" hidden="1" customHeight="1">
      <c r="A148" s="52"/>
      <c r="B148" s="42"/>
      <c r="C148" s="42"/>
      <c r="D148" s="42"/>
      <c r="E148" s="157"/>
      <c r="F148" s="115"/>
      <c r="G148" s="115"/>
      <c r="H148" s="158"/>
      <c r="I148" s="115"/>
      <c r="J148" s="159"/>
      <c r="K148" s="115"/>
      <c r="L148" s="157"/>
      <c r="N148" s="125"/>
      <c r="O148" s="112"/>
      <c r="P148" s="112"/>
    </row>
    <row r="149" spans="1:16" ht="15" customHeight="1">
      <c r="A149" s="52"/>
      <c r="B149" s="160" t="s">
        <v>112</v>
      </c>
      <c r="C149" s="160"/>
      <c r="D149" s="160"/>
      <c r="E149" s="121"/>
      <c r="F149" s="161"/>
      <c r="G149" s="161"/>
      <c r="H149" s="162">
        <f>H63-H65</f>
        <v>-2116737.3877777755</v>
      </c>
      <c r="I149" s="161"/>
      <c r="J149" s="163"/>
      <c r="K149" s="161"/>
      <c r="L149" s="162">
        <f>L63-L65</f>
        <v>-176394.78231481556</v>
      </c>
      <c r="N149" s="125"/>
    </row>
    <row r="150" spans="1:16" ht="15" customHeight="1">
      <c r="A150" s="52"/>
      <c r="B150" s="164"/>
      <c r="C150" s="164"/>
      <c r="D150" s="164"/>
      <c r="E150" s="6"/>
      <c r="F150" s="115"/>
      <c r="G150" s="115"/>
      <c r="H150" s="158"/>
      <c r="I150" s="115"/>
      <c r="J150" s="159"/>
      <c r="K150" s="115"/>
      <c r="L150" s="115"/>
      <c r="N150" s="125"/>
    </row>
    <row r="151" spans="1:16" ht="15" customHeight="1">
      <c r="A151" s="52"/>
      <c r="B151" s="59" t="s">
        <v>113</v>
      </c>
      <c r="C151" s="59"/>
      <c r="D151" s="59"/>
      <c r="E151" s="104"/>
      <c r="F151" s="165"/>
      <c r="G151" s="166"/>
      <c r="H151" s="130">
        <f>240000+36000+120000</f>
        <v>396000</v>
      </c>
      <c r="I151" s="166"/>
      <c r="J151" s="129">
        <f>H151/$H$65</f>
        <v>4.4328157712808158E-3</v>
      </c>
      <c r="K151" s="166"/>
      <c r="L151" s="64">
        <f>H151/12</f>
        <v>33000</v>
      </c>
      <c r="N151" s="125"/>
      <c r="O151" s="112"/>
      <c r="P151" s="112"/>
    </row>
    <row r="152" spans="1:16" ht="15" customHeight="1">
      <c r="A152" s="52"/>
      <c r="B152" s="167" t="s">
        <v>114</v>
      </c>
      <c r="C152" s="167"/>
      <c r="D152" s="167"/>
      <c r="E152" s="168"/>
      <c r="F152" s="169"/>
      <c r="G152" s="170"/>
      <c r="H152" s="62">
        <f>120000</f>
        <v>120000</v>
      </c>
      <c r="I152" s="170"/>
      <c r="J152" s="86">
        <f>H152/$H$65</f>
        <v>1.3432775064487321E-3</v>
      </c>
      <c r="K152" s="170"/>
      <c r="L152" s="153">
        <f>H152/12</f>
        <v>10000</v>
      </c>
      <c r="N152" s="125"/>
      <c r="O152" s="112"/>
      <c r="P152" s="112"/>
    </row>
    <row r="153" spans="1:16" ht="15" customHeight="1">
      <c r="A153" s="52"/>
      <c r="B153" s="171" t="s">
        <v>115</v>
      </c>
      <c r="C153" s="171"/>
      <c r="D153" s="171"/>
      <c r="E153" s="98"/>
      <c r="F153" s="172"/>
      <c r="G153" s="166"/>
      <c r="H153" s="145">
        <v>0</v>
      </c>
      <c r="I153" s="166"/>
      <c r="J153" s="173"/>
      <c r="K153" s="166"/>
      <c r="L153" s="145">
        <v>0</v>
      </c>
      <c r="N153" s="125"/>
      <c r="O153" s="112"/>
      <c r="P153" s="112"/>
    </row>
    <row r="154" spans="1:16" ht="15" customHeight="1">
      <c r="A154" s="52"/>
      <c r="B154" s="67"/>
      <c r="C154" s="67"/>
      <c r="D154" s="67"/>
      <c r="E154" s="6"/>
      <c r="F154" s="166"/>
      <c r="G154" s="166"/>
      <c r="H154" s="68"/>
      <c r="I154" s="166"/>
      <c r="J154" s="92"/>
      <c r="K154" s="166"/>
      <c r="L154" s="126"/>
      <c r="N154" s="125"/>
      <c r="O154" s="112"/>
      <c r="P154" s="112"/>
    </row>
    <row r="155" spans="1:16" ht="15" customHeight="1">
      <c r="A155" s="52"/>
      <c r="B155" s="53" t="s">
        <v>116</v>
      </c>
      <c r="C155" s="53"/>
      <c r="D155" s="120"/>
      <c r="E155" s="121"/>
      <c r="F155" s="122"/>
      <c r="G155" s="122"/>
      <c r="H155" s="174">
        <f>H153-H151-H152</f>
        <v>-516000</v>
      </c>
      <c r="I155" s="122"/>
      <c r="J155" s="175"/>
      <c r="K155" s="122"/>
      <c r="L155" s="174">
        <f>L153-L151</f>
        <v>-33000</v>
      </c>
      <c r="N155" s="125"/>
    </row>
    <row r="156" spans="1:16" ht="15" customHeight="1">
      <c r="A156" s="52"/>
      <c r="B156" s="164"/>
      <c r="C156" s="164"/>
      <c r="D156" s="164"/>
      <c r="E156" s="6"/>
      <c r="F156" s="115"/>
      <c r="G156" s="115"/>
      <c r="H156" s="158"/>
      <c r="I156" s="115"/>
      <c r="J156" s="159"/>
      <c r="K156" s="115"/>
      <c r="L156" s="115"/>
      <c r="N156" s="125"/>
    </row>
    <row r="157" spans="1:16" ht="15" hidden="1" customHeight="1">
      <c r="B157" s="114"/>
      <c r="C157" s="114"/>
      <c r="D157" s="114"/>
      <c r="E157" s="6"/>
      <c r="F157" s="115"/>
      <c r="G157" s="115"/>
      <c r="H157" s="158"/>
      <c r="I157" s="115"/>
      <c r="J157" s="159"/>
      <c r="K157" s="115"/>
      <c r="L157" s="115"/>
      <c r="N157" s="125"/>
    </row>
    <row r="158" spans="1:16" ht="15" customHeight="1">
      <c r="B158" s="160" t="s">
        <v>117</v>
      </c>
      <c r="C158" s="160"/>
      <c r="D158" s="160"/>
      <c r="E158" s="121"/>
      <c r="F158" s="176"/>
      <c r="G158" s="176"/>
      <c r="H158" s="177">
        <f>H149+H155</f>
        <v>-2632737.3877777755</v>
      </c>
      <c r="I158" s="176"/>
      <c r="J158" s="178"/>
      <c r="K158" s="176"/>
      <c r="L158" s="177">
        <f>L149+L155</f>
        <v>-209394.78231481556</v>
      </c>
      <c r="N158" s="125"/>
      <c r="O158" s="57"/>
    </row>
    <row r="160" spans="1:16" ht="15" hidden="1" customHeight="1"/>
    <row r="161" ht="2.25" customHeight="1"/>
  </sheetData>
  <printOptions horizontalCentered="1"/>
  <pageMargins left="1.1812499999999999" right="1.1812499999999999" top="1.37777777777778" bottom="1.77152777777778" header="0.51180555555555496" footer="0.39374999999999999"/>
  <pageSetup paperSize="9" scale="75" firstPageNumber="7" orientation="portrait" useFirstPageNumber="1" horizontalDpi="300" verticalDpi="300"/>
  <headerFooter>
    <oddFooter>&amp;R&amp;10&amp;P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</sheetPr>
  <dimension ref="B1:W753"/>
  <sheetViews>
    <sheetView showGridLines="0" topLeftCell="P1" zoomScale="75" zoomScaleNormal="75" workbookViewId="0">
      <pane ySplit="4" topLeftCell="A719" activePane="bottomLeft" state="frozen"/>
      <selection activeCell="P1" sqref="P1"/>
      <selection pane="bottomLeft" activeCell="I170" sqref="I170"/>
    </sheetView>
  </sheetViews>
  <sheetFormatPr defaultRowHeight="16.5" outlineLevelCol="1"/>
  <cols>
    <col min="1" max="1" width="1.125" customWidth="1"/>
    <col min="2" max="2" width="8.75" customWidth="1"/>
    <col min="3" max="3" width="16.625" style="179" customWidth="1"/>
    <col min="4" max="4" width="44.375" customWidth="1"/>
    <col min="5" max="5" width="15.75" hidden="1" customWidth="1" outlineLevel="1"/>
    <col min="6" max="6" width="16.5" customWidth="1"/>
    <col min="7" max="7" width="16.125" customWidth="1"/>
    <col min="8" max="9" width="10.875" customWidth="1"/>
    <col min="10" max="11" width="14.25" customWidth="1"/>
    <col min="12" max="12" width="16.75" hidden="1" customWidth="1" outlineLevel="1"/>
    <col min="13" max="13" width="18.625" hidden="1" customWidth="1" outlineLevel="1"/>
    <col min="14" max="15" width="17.625" customWidth="1"/>
    <col min="16" max="17" width="22.625" customWidth="1"/>
    <col min="18" max="18" width="1" style="180" customWidth="1"/>
    <col min="19" max="19" width="33" customWidth="1"/>
    <col min="20" max="20" width="0.625" customWidth="1"/>
    <col min="21" max="21" width="14.125" customWidth="1"/>
    <col min="22" max="23" width="14.5" customWidth="1"/>
    <col min="24" max="1025" width="8.625" customWidth="1"/>
  </cols>
  <sheetData>
    <row r="1" spans="2:23">
      <c r="C1" s="181" t="s">
        <v>118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 t="s">
        <v>119</v>
      </c>
      <c r="O1" s="182"/>
      <c r="P1" s="182"/>
      <c r="Q1" s="182"/>
      <c r="S1" s="182" t="s">
        <v>120</v>
      </c>
      <c r="T1" s="182"/>
      <c r="U1" s="182"/>
      <c r="V1" s="182"/>
      <c r="W1" s="182"/>
    </row>
    <row r="2" spans="2:23">
      <c r="N2" s="184" t="s">
        <v>121</v>
      </c>
    </row>
    <row r="3" spans="2:23">
      <c r="G3" s="185" t="s">
        <v>122</v>
      </c>
      <c r="H3" s="185"/>
      <c r="I3" s="185"/>
      <c r="J3" s="186">
        <v>41639</v>
      </c>
      <c r="K3" s="185" t="s">
        <v>123</v>
      </c>
      <c r="N3" s="184" t="s">
        <v>124</v>
      </c>
      <c r="S3" t="s">
        <v>125</v>
      </c>
      <c r="U3" s="187">
        <f>U76</f>
        <v>0</v>
      </c>
      <c r="V3" s="187">
        <f>V76</f>
        <v>0</v>
      </c>
      <c r="W3" s="187">
        <f>W76</f>
        <v>0</v>
      </c>
    </row>
    <row r="4" spans="2:23">
      <c r="B4" t="s">
        <v>126</v>
      </c>
      <c r="C4" s="188" t="s">
        <v>127</v>
      </c>
      <c r="D4" s="189" t="s">
        <v>128</v>
      </c>
      <c r="E4" s="190">
        <v>41090</v>
      </c>
      <c r="F4" s="190">
        <v>41274</v>
      </c>
      <c r="G4" s="189" t="s">
        <v>129</v>
      </c>
      <c r="H4" s="189" t="s">
        <v>130</v>
      </c>
      <c r="I4" s="189" t="s">
        <v>131</v>
      </c>
      <c r="J4" s="189" t="s">
        <v>132</v>
      </c>
      <c r="K4" s="189" t="s">
        <v>132</v>
      </c>
      <c r="L4" s="189" t="s">
        <v>133</v>
      </c>
      <c r="M4" s="189" t="s">
        <v>134</v>
      </c>
      <c r="N4" s="189" t="s">
        <v>135</v>
      </c>
      <c r="O4" s="189" t="s">
        <v>136</v>
      </c>
      <c r="P4" s="189" t="s">
        <v>137</v>
      </c>
      <c r="Q4" s="189" t="s">
        <v>138</v>
      </c>
      <c r="S4" s="189" t="s">
        <v>128</v>
      </c>
      <c r="T4" s="189"/>
      <c r="U4" s="190" t="str">
        <f>J4</f>
        <v>Após os ajustes</v>
      </c>
      <c r="V4" s="190">
        <f>F4</f>
        <v>41274</v>
      </c>
      <c r="W4" s="190">
        <f>E4</f>
        <v>41090</v>
      </c>
    </row>
    <row r="5" spans="2:23" ht="16.5" hidden="1" customHeight="1">
      <c r="B5" t="str">
        <f t="shared" ref="B5:B19" si="0">LEFT(C5,6)</f>
        <v>111011</v>
      </c>
      <c r="C5" s="179">
        <v>111011102</v>
      </c>
      <c r="D5" t="s">
        <v>139</v>
      </c>
      <c r="E5" s="179"/>
      <c r="F5" s="179"/>
      <c r="G5" s="179">
        <v>6000</v>
      </c>
      <c r="H5" s="179"/>
      <c r="I5" s="179"/>
      <c r="J5" s="191">
        <v>3500</v>
      </c>
      <c r="K5" s="191">
        <v>3500</v>
      </c>
      <c r="L5" s="185" t="s">
        <v>140</v>
      </c>
      <c r="N5" s="192" t="s">
        <v>119</v>
      </c>
      <c r="O5" t="s">
        <v>141</v>
      </c>
      <c r="P5" t="s">
        <v>142</v>
      </c>
      <c r="S5" s="193" t="s">
        <v>119</v>
      </c>
      <c r="T5" s="182"/>
      <c r="U5" s="191">
        <f>SUBTOTAL(9,U8:U23)</f>
        <v>0</v>
      </c>
      <c r="V5" s="191">
        <f>SUBTOTAL(9,V8:V23)</f>
        <v>0</v>
      </c>
      <c r="W5" s="191">
        <f>SUBTOTAL(9,W8:W23)</f>
        <v>0</v>
      </c>
    </row>
    <row r="6" spans="2:23" ht="16.5" hidden="1" customHeight="1">
      <c r="B6" t="str">
        <f t="shared" si="0"/>
        <v>111011</v>
      </c>
      <c r="C6" s="179">
        <v>111011101</v>
      </c>
      <c r="E6" s="179"/>
      <c r="F6" s="179"/>
      <c r="G6" s="179"/>
      <c r="H6" s="179"/>
      <c r="I6" s="179"/>
      <c r="J6" s="191">
        <v>0</v>
      </c>
      <c r="K6" s="191">
        <v>450.87</v>
      </c>
      <c r="L6" s="185" t="s">
        <v>140</v>
      </c>
      <c r="N6" s="192" t="s">
        <v>119</v>
      </c>
      <c r="O6" t="s">
        <v>141</v>
      </c>
      <c r="S6" s="193"/>
      <c r="T6" s="182"/>
      <c r="U6" s="191"/>
      <c r="V6" s="191"/>
      <c r="W6" s="191"/>
    </row>
    <row r="7" spans="2:23" ht="16.5" hidden="1" customHeight="1">
      <c r="B7" t="str">
        <f t="shared" si="0"/>
        <v>111012</v>
      </c>
      <c r="C7" s="179">
        <v>111012101</v>
      </c>
      <c r="D7" t="s">
        <v>143</v>
      </c>
      <c r="E7" s="179"/>
      <c r="F7" s="179">
        <v>3219.95</v>
      </c>
      <c r="G7" s="179">
        <v>3244.11</v>
      </c>
      <c r="H7" s="179"/>
      <c r="I7" s="179"/>
      <c r="J7" s="191">
        <v>0</v>
      </c>
      <c r="K7" s="191">
        <v>0</v>
      </c>
      <c r="L7" s="185" t="s">
        <v>140</v>
      </c>
      <c r="N7" s="192" t="s">
        <v>119</v>
      </c>
      <c r="O7" t="s">
        <v>141</v>
      </c>
      <c r="P7" t="s">
        <v>142</v>
      </c>
      <c r="S7" t="s">
        <v>144</v>
      </c>
    </row>
    <row r="8" spans="2:23" ht="16.5" hidden="1" customHeight="1">
      <c r="B8" t="str">
        <f t="shared" si="0"/>
        <v>111012</v>
      </c>
      <c r="C8" s="179">
        <v>111012102</v>
      </c>
      <c r="D8" t="s">
        <v>145</v>
      </c>
      <c r="E8" s="179"/>
      <c r="F8" s="179">
        <v>3254.23</v>
      </c>
      <c r="G8" s="179">
        <v>10571.4</v>
      </c>
      <c r="H8" s="179"/>
      <c r="I8" s="179"/>
      <c r="J8" s="191">
        <v>890.02</v>
      </c>
      <c r="K8" s="191">
        <v>1432.49</v>
      </c>
      <c r="L8" s="185" t="s">
        <v>140</v>
      </c>
      <c r="N8" s="192" t="s">
        <v>119</v>
      </c>
      <c r="O8" t="s">
        <v>141</v>
      </c>
      <c r="P8" t="s">
        <v>142</v>
      </c>
      <c r="S8" t="e">
        <f>#REF!</f>
        <v>#REF!</v>
      </c>
      <c r="U8" s="179">
        <f t="shared" ref="U8:U15" si="1">ROUND(SUMIF(O:O,S8,J:J)/1000,0)</f>
        <v>0</v>
      </c>
      <c r="V8" s="179">
        <f t="shared" ref="V8:V14" si="2">ROUND(SUMIF(O:O,S8,F:F)/1000,0)</f>
        <v>0</v>
      </c>
      <c r="W8" s="179">
        <f t="shared" ref="W8:W15" si="3">ROUND(SUMIF(O:O,S8,E:E)/1000,0)</f>
        <v>0</v>
      </c>
    </row>
    <row r="9" spans="2:23" ht="16.5" hidden="1" customHeight="1">
      <c r="B9" t="str">
        <f t="shared" si="0"/>
        <v>111012</v>
      </c>
      <c r="C9" s="179">
        <v>111012103</v>
      </c>
      <c r="D9" t="s">
        <v>145</v>
      </c>
      <c r="E9" s="179"/>
      <c r="F9" s="179">
        <v>16675.93</v>
      </c>
      <c r="G9" s="179">
        <v>966.07</v>
      </c>
      <c r="H9" s="179"/>
      <c r="I9" s="179"/>
      <c r="J9" s="191">
        <v>1845.96</v>
      </c>
      <c r="K9" s="191">
        <v>642.27</v>
      </c>
      <c r="L9" s="185" t="s">
        <v>140</v>
      </c>
      <c r="N9" s="192" t="s">
        <v>119</v>
      </c>
      <c r="O9" t="s">
        <v>141</v>
      </c>
      <c r="P9" t="s">
        <v>142</v>
      </c>
      <c r="S9" t="e">
        <f>#REF!</f>
        <v>#REF!</v>
      </c>
      <c r="U9" s="179">
        <f t="shared" si="1"/>
        <v>0</v>
      </c>
      <c r="V9" s="179">
        <f t="shared" si="2"/>
        <v>0</v>
      </c>
      <c r="W9" s="179">
        <f t="shared" si="3"/>
        <v>0</v>
      </c>
    </row>
    <row r="10" spans="2:23" ht="16.5" hidden="1" customHeight="1">
      <c r="B10" t="str">
        <f t="shared" si="0"/>
        <v>111012</v>
      </c>
      <c r="C10" s="179">
        <v>111012106</v>
      </c>
      <c r="D10" t="s">
        <v>145</v>
      </c>
      <c r="E10" s="179"/>
      <c r="F10" s="179">
        <v>0</v>
      </c>
      <c r="G10" s="179">
        <v>0</v>
      </c>
      <c r="H10" s="179"/>
      <c r="I10" s="179"/>
      <c r="J10" s="191">
        <v>0</v>
      </c>
      <c r="K10" s="191">
        <v>0</v>
      </c>
      <c r="L10" s="185" t="s">
        <v>140</v>
      </c>
      <c r="N10" s="192" t="s">
        <v>119</v>
      </c>
      <c r="O10" t="s">
        <v>141</v>
      </c>
      <c r="P10" t="s">
        <v>142</v>
      </c>
      <c r="S10" t="s">
        <v>146</v>
      </c>
      <c r="U10" s="179">
        <f t="shared" si="1"/>
        <v>34660</v>
      </c>
      <c r="V10" s="179">
        <f t="shared" si="2"/>
        <v>0</v>
      </c>
      <c r="W10" s="179">
        <f t="shared" si="3"/>
        <v>0</v>
      </c>
    </row>
    <row r="11" spans="2:23" ht="16.5" hidden="1" customHeight="1">
      <c r="B11" t="str">
        <f t="shared" si="0"/>
        <v>111012</v>
      </c>
      <c r="C11" s="179">
        <v>111012107</v>
      </c>
      <c r="D11" t="s">
        <v>147</v>
      </c>
      <c r="E11" s="179"/>
      <c r="F11" s="179">
        <v>1141.05</v>
      </c>
      <c r="G11" s="179">
        <v>1051.05</v>
      </c>
      <c r="H11" s="179"/>
      <c r="I11" s="179"/>
      <c r="J11" s="191">
        <v>961.05</v>
      </c>
      <c r="K11" s="191">
        <v>976.05</v>
      </c>
      <c r="L11" s="185" t="s">
        <v>140</v>
      </c>
      <c r="N11" s="192" t="s">
        <v>119</v>
      </c>
      <c r="O11" t="s">
        <v>141</v>
      </c>
      <c r="P11" t="s">
        <v>142</v>
      </c>
      <c r="S11" t="e">
        <f>#REF!</f>
        <v>#REF!</v>
      </c>
      <c r="U11" s="179">
        <f t="shared" si="1"/>
        <v>0</v>
      </c>
      <c r="V11" s="179">
        <f t="shared" si="2"/>
        <v>0</v>
      </c>
      <c r="W11" s="179">
        <f t="shared" si="3"/>
        <v>0</v>
      </c>
    </row>
    <row r="12" spans="2:23" ht="16.5" hidden="1" customHeight="1">
      <c r="B12" t="str">
        <f t="shared" si="0"/>
        <v>111012</v>
      </c>
      <c r="C12" s="179">
        <v>111012108</v>
      </c>
      <c r="D12" t="s">
        <v>148</v>
      </c>
      <c r="E12" s="179"/>
      <c r="F12" s="179">
        <v>14859.8</v>
      </c>
      <c r="G12" s="179">
        <v>8037.65</v>
      </c>
      <c r="H12" s="179"/>
      <c r="I12" s="179"/>
      <c r="J12" s="191">
        <v>0</v>
      </c>
      <c r="K12" s="191">
        <v>0</v>
      </c>
      <c r="L12" s="185" t="s">
        <v>140</v>
      </c>
      <c r="N12" s="192" t="s">
        <v>119</v>
      </c>
      <c r="O12" t="s">
        <v>141</v>
      </c>
      <c r="P12" t="s">
        <v>142</v>
      </c>
      <c r="S12" t="e">
        <f>#REF!</f>
        <v>#REF!</v>
      </c>
      <c r="U12" s="179">
        <f t="shared" si="1"/>
        <v>0</v>
      </c>
      <c r="V12" s="179">
        <f t="shared" si="2"/>
        <v>0</v>
      </c>
      <c r="W12" s="179">
        <f t="shared" si="3"/>
        <v>0</v>
      </c>
    </row>
    <row r="13" spans="2:23" ht="16.5" hidden="1" customHeight="1">
      <c r="B13" t="str">
        <f t="shared" si="0"/>
        <v>111012</v>
      </c>
      <c r="C13" s="179">
        <v>111012109</v>
      </c>
      <c r="D13" t="s">
        <v>149</v>
      </c>
      <c r="E13" s="179"/>
      <c r="F13" s="179">
        <v>0</v>
      </c>
      <c r="G13" s="179">
        <v>0</v>
      </c>
      <c r="H13" s="179"/>
      <c r="I13" s="179"/>
      <c r="J13" s="191">
        <v>0</v>
      </c>
      <c r="K13" s="191">
        <v>0</v>
      </c>
      <c r="L13" s="185" t="s">
        <v>140</v>
      </c>
      <c r="N13" s="192" t="s">
        <v>119</v>
      </c>
      <c r="O13" t="s">
        <v>141</v>
      </c>
      <c r="P13" t="s">
        <v>142</v>
      </c>
      <c r="S13" t="e">
        <f>#REF!</f>
        <v>#REF!</v>
      </c>
      <c r="U13" s="179">
        <f t="shared" si="1"/>
        <v>0</v>
      </c>
      <c r="V13" s="179">
        <f t="shared" si="2"/>
        <v>0</v>
      </c>
      <c r="W13" s="179">
        <f t="shared" si="3"/>
        <v>0</v>
      </c>
    </row>
    <row r="14" spans="2:23" ht="16.5" hidden="1" customHeight="1">
      <c r="B14" t="str">
        <f t="shared" si="0"/>
        <v>111012</v>
      </c>
      <c r="C14" s="179">
        <v>111012111</v>
      </c>
      <c r="D14" t="s">
        <v>150</v>
      </c>
      <c r="E14" s="179"/>
      <c r="F14" s="179">
        <v>2359.46</v>
      </c>
      <c r="G14" s="179">
        <v>451.38</v>
      </c>
      <c r="H14" s="179"/>
      <c r="I14" s="179"/>
      <c r="J14" s="191">
        <v>4047.75</v>
      </c>
      <c r="K14" s="191">
        <v>3544.68</v>
      </c>
      <c r="L14" s="185" t="s">
        <v>140</v>
      </c>
      <c r="N14" s="192" t="s">
        <v>119</v>
      </c>
      <c r="O14" t="s">
        <v>141</v>
      </c>
      <c r="P14" t="s">
        <v>142</v>
      </c>
      <c r="S14" t="e">
        <f>#REF!</f>
        <v>#REF!</v>
      </c>
      <c r="U14" s="179">
        <f t="shared" si="1"/>
        <v>0</v>
      </c>
      <c r="V14" s="179">
        <f t="shared" si="2"/>
        <v>0</v>
      </c>
      <c r="W14" s="179">
        <f t="shared" si="3"/>
        <v>0</v>
      </c>
    </row>
    <row r="15" spans="2:23" ht="16.5" hidden="1" customHeight="1">
      <c r="B15" t="str">
        <f t="shared" si="0"/>
        <v>111012</v>
      </c>
      <c r="C15" s="179">
        <v>111012112</v>
      </c>
      <c r="D15" t="s">
        <v>151</v>
      </c>
      <c r="E15" s="179"/>
      <c r="F15" s="179">
        <v>0</v>
      </c>
      <c r="G15" s="179">
        <v>0</v>
      </c>
      <c r="H15" s="179"/>
      <c r="I15" s="179"/>
      <c r="J15" s="191">
        <v>0</v>
      </c>
      <c r="K15" s="191">
        <v>0</v>
      </c>
      <c r="L15" s="185" t="s">
        <v>140</v>
      </c>
      <c r="N15" s="192" t="s">
        <v>119</v>
      </c>
      <c r="O15" t="s">
        <v>141</v>
      </c>
      <c r="P15" t="s">
        <v>142</v>
      </c>
      <c r="S15" t="e">
        <f>#REF!</f>
        <v>#REF!</v>
      </c>
      <c r="U15" s="179">
        <f t="shared" si="1"/>
        <v>0</v>
      </c>
      <c r="V15" s="179">
        <f>ROUND(SUMIF(O:O,S15,F:F)/1000,0)+1</f>
        <v>1</v>
      </c>
      <c r="W15" s="179">
        <f t="shared" si="3"/>
        <v>0</v>
      </c>
    </row>
    <row r="16" spans="2:23" ht="16.5" hidden="1" customHeight="1">
      <c r="B16" t="str">
        <f t="shared" si="0"/>
        <v>111012</v>
      </c>
      <c r="C16" s="179">
        <v>111012113</v>
      </c>
      <c r="D16" t="s">
        <v>152</v>
      </c>
      <c r="E16" s="179"/>
      <c r="F16" s="179">
        <v>84.9</v>
      </c>
      <c r="G16" s="179">
        <v>0</v>
      </c>
      <c r="H16" s="179"/>
      <c r="I16" s="179"/>
      <c r="J16" s="191">
        <v>0</v>
      </c>
      <c r="K16" s="191">
        <v>0</v>
      </c>
      <c r="L16" s="185" t="s">
        <v>140</v>
      </c>
      <c r="N16" s="192" t="s">
        <v>119</v>
      </c>
      <c r="O16" t="s">
        <v>141</v>
      </c>
      <c r="P16" t="s">
        <v>142</v>
      </c>
      <c r="U16" s="179"/>
      <c r="V16" s="179"/>
      <c r="W16" s="179"/>
    </row>
    <row r="17" spans="2:23" ht="16.5" hidden="1" customHeight="1">
      <c r="B17" t="str">
        <f t="shared" si="0"/>
        <v>111012</v>
      </c>
      <c r="C17" s="179">
        <v>111012114</v>
      </c>
      <c r="D17" t="s">
        <v>153</v>
      </c>
      <c r="E17" s="179"/>
      <c r="F17" s="179">
        <v>0</v>
      </c>
      <c r="G17" s="179">
        <v>7742</v>
      </c>
      <c r="H17" s="179"/>
      <c r="I17" s="179"/>
      <c r="J17" s="191">
        <v>7577</v>
      </c>
      <c r="K17" s="191">
        <v>7604.5</v>
      </c>
      <c r="L17" s="185" t="s">
        <v>140</v>
      </c>
      <c r="N17" s="192" t="s">
        <v>119</v>
      </c>
      <c r="O17" t="s">
        <v>141</v>
      </c>
      <c r="P17" t="s">
        <v>142</v>
      </c>
      <c r="S17" t="e">
        <f>#REF!</f>
        <v>#REF!</v>
      </c>
      <c r="U17" s="179"/>
      <c r="V17" s="179"/>
      <c r="W17" s="179"/>
    </row>
    <row r="18" spans="2:23" ht="16.5" hidden="1" customHeight="1">
      <c r="B18" t="str">
        <f t="shared" si="0"/>
        <v>111012</v>
      </c>
      <c r="C18" s="179">
        <v>111012116</v>
      </c>
      <c r="D18" t="s">
        <v>154</v>
      </c>
      <c r="E18" s="179"/>
      <c r="F18" s="179"/>
      <c r="G18" s="179">
        <v>2084958.78</v>
      </c>
      <c r="H18" s="179"/>
      <c r="I18" s="179"/>
      <c r="J18" s="191">
        <v>2546.9499999999998</v>
      </c>
      <c r="K18" s="191">
        <v>3055.42</v>
      </c>
      <c r="L18" s="185" t="s">
        <v>140</v>
      </c>
      <c r="N18" s="192" t="s">
        <v>119</v>
      </c>
      <c r="O18" t="s">
        <v>141</v>
      </c>
      <c r="P18" t="s">
        <v>142</v>
      </c>
      <c r="S18" t="e">
        <f>#REF!&amp;" LP"</f>
        <v>#REF!</v>
      </c>
      <c r="U18" s="179">
        <f t="shared" ref="U18:U23" si="4">ROUND(SUMIF(O:O,S18,J:J)/1000,0)</f>
        <v>0</v>
      </c>
      <c r="V18" s="179">
        <f t="shared" ref="V18:V23" si="5">ROUND(SUMIF(O:O,S18,F:F)/1000,0)</f>
        <v>0</v>
      </c>
      <c r="W18" s="179">
        <f t="shared" ref="W18:W23" si="6">ROUND(SUMIF(O:O,S18,E:E)/1000,0)</f>
        <v>0</v>
      </c>
    </row>
    <row r="19" spans="2:23" ht="16.5" hidden="1" customHeight="1">
      <c r="B19" t="str">
        <f t="shared" si="0"/>
        <v>111012</v>
      </c>
      <c r="C19" s="179">
        <v>111012118</v>
      </c>
      <c r="D19" t="s">
        <v>155</v>
      </c>
      <c r="E19" s="179"/>
      <c r="F19" s="179"/>
      <c r="G19" s="179">
        <v>0</v>
      </c>
      <c r="H19" s="179"/>
      <c r="I19" s="179"/>
      <c r="J19" s="191">
        <v>0</v>
      </c>
      <c r="K19" s="191">
        <v>0</v>
      </c>
      <c r="L19" s="185" t="s">
        <v>140</v>
      </c>
      <c r="N19" s="192" t="s">
        <v>119</v>
      </c>
      <c r="O19" t="s">
        <v>141</v>
      </c>
      <c r="P19" t="s">
        <v>142</v>
      </c>
      <c r="S19" t="e">
        <f>#REF!&amp;" LP"</f>
        <v>#REF!</v>
      </c>
      <c r="U19" s="179">
        <f t="shared" si="4"/>
        <v>0</v>
      </c>
      <c r="V19" s="179">
        <f t="shared" si="5"/>
        <v>0</v>
      </c>
      <c r="W19" s="179">
        <f t="shared" si="6"/>
        <v>0</v>
      </c>
    </row>
    <row r="20" spans="2:23" ht="16.5" hidden="1" customHeight="1">
      <c r="B20" t="s">
        <v>156</v>
      </c>
      <c r="C20" s="179">
        <v>111012119</v>
      </c>
      <c r="D20" t="s">
        <v>157</v>
      </c>
      <c r="E20" s="179"/>
      <c r="F20" s="179"/>
      <c r="J20" s="191">
        <v>1938.65</v>
      </c>
      <c r="K20" s="191">
        <v>1960.65</v>
      </c>
      <c r="L20" s="185" t="s">
        <v>140</v>
      </c>
      <c r="N20" s="192" t="s">
        <v>119</v>
      </c>
      <c r="O20" t="s">
        <v>141</v>
      </c>
      <c r="S20" t="e">
        <f>#REF!</f>
        <v>#REF!</v>
      </c>
      <c r="U20" s="179">
        <f t="shared" si="4"/>
        <v>0</v>
      </c>
      <c r="V20" s="179">
        <f t="shared" si="5"/>
        <v>0</v>
      </c>
      <c r="W20" s="179">
        <f t="shared" si="6"/>
        <v>0</v>
      </c>
    </row>
    <row r="21" spans="2:23" ht="16.5" hidden="1" customHeight="1">
      <c r="B21" t="s">
        <v>156</v>
      </c>
      <c r="C21" s="179">
        <v>111012120</v>
      </c>
      <c r="D21" t="s">
        <v>158</v>
      </c>
      <c r="E21" s="179"/>
      <c r="F21" s="179"/>
      <c r="J21" s="191">
        <v>729.61</v>
      </c>
      <c r="K21" s="191">
        <v>729.61</v>
      </c>
      <c r="L21" s="185" t="s">
        <v>140</v>
      </c>
      <c r="N21" s="192" t="s">
        <v>119</v>
      </c>
      <c r="O21" t="s">
        <v>141</v>
      </c>
      <c r="S21" t="e">
        <f>#REF!</f>
        <v>#REF!</v>
      </c>
      <c r="U21" s="179">
        <f t="shared" si="4"/>
        <v>0</v>
      </c>
      <c r="V21" s="179">
        <f t="shared" si="5"/>
        <v>0</v>
      </c>
      <c r="W21" s="179">
        <f t="shared" si="6"/>
        <v>0</v>
      </c>
    </row>
    <row r="22" spans="2:23" ht="16.5" hidden="1" customHeight="1">
      <c r="B22" t="str">
        <f t="shared" ref="B22:B53" si="7">LEFT(C22,6)</f>
        <v>111012</v>
      </c>
      <c r="C22" s="179">
        <v>111012110</v>
      </c>
      <c r="D22" t="s">
        <v>159</v>
      </c>
      <c r="E22" s="179"/>
      <c r="F22" s="179"/>
      <c r="G22" s="179">
        <v>0</v>
      </c>
      <c r="H22" s="179"/>
      <c r="I22" s="179"/>
      <c r="J22" s="191">
        <v>130.53</v>
      </c>
      <c r="K22" s="191">
        <v>0</v>
      </c>
      <c r="L22" s="185" t="s">
        <v>140</v>
      </c>
      <c r="N22" s="192" t="s">
        <v>119</v>
      </c>
      <c r="O22" t="s">
        <v>141</v>
      </c>
      <c r="P22" t="s">
        <v>142</v>
      </c>
      <c r="S22" t="e">
        <f>#REF!</f>
        <v>#REF!</v>
      </c>
      <c r="U22" s="179">
        <f t="shared" si="4"/>
        <v>0</v>
      </c>
      <c r="V22" s="179">
        <f t="shared" si="5"/>
        <v>0</v>
      </c>
      <c r="W22" s="179">
        <f t="shared" si="6"/>
        <v>0</v>
      </c>
    </row>
    <row r="23" spans="2:23" ht="16.5" hidden="1" customHeight="1">
      <c r="B23" t="str">
        <f t="shared" si="7"/>
        <v>111014</v>
      </c>
      <c r="C23" s="179">
        <v>111014102</v>
      </c>
      <c r="D23" t="s">
        <v>160</v>
      </c>
      <c r="E23" s="179"/>
      <c r="F23" s="179">
        <v>2500</v>
      </c>
      <c r="G23" s="179">
        <v>0</v>
      </c>
      <c r="H23" s="179"/>
      <c r="I23" s="179"/>
      <c r="J23" s="191">
        <v>0</v>
      </c>
      <c r="K23" s="191">
        <v>0</v>
      </c>
      <c r="L23" s="185" t="s">
        <v>140</v>
      </c>
      <c r="N23" s="192" t="s">
        <v>119</v>
      </c>
      <c r="O23" t="s">
        <v>141</v>
      </c>
      <c r="P23" t="s">
        <v>142</v>
      </c>
      <c r="S23" t="e">
        <f>#REF!</f>
        <v>#REF!</v>
      </c>
      <c r="U23" s="179">
        <f t="shared" si="4"/>
        <v>0</v>
      </c>
      <c r="V23" s="179">
        <f t="shared" si="5"/>
        <v>0</v>
      </c>
      <c r="W23" s="179">
        <f t="shared" si="6"/>
        <v>0</v>
      </c>
    </row>
    <row r="24" spans="2:23" ht="16.5" hidden="1" customHeight="1">
      <c r="B24" t="str">
        <f t="shared" si="7"/>
        <v>111014</v>
      </c>
      <c r="C24" s="179">
        <v>111014103</v>
      </c>
      <c r="D24" t="s">
        <v>139</v>
      </c>
      <c r="E24" s="179"/>
      <c r="F24" s="179">
        <v>3500</v>
      </c>
      <c r="G24" s="179">
        <v>0</v>
      </c>
      <c r="H24" s="179"/>
      <c r="I24" s="179"/>
      <c r="J24" s="191">
        <v>0</v>
      </c>
      <c r="K24" s="191">
        <v>0</v>
      </c>
      <c r="L24" s="185" t="s">
        <v>161</v>
      </c>
      <c r="N24" s="192" t="s">
        <v>119</v>
      </c>
      <c r="O24" t="s">
        <v>141</v>
      </c>
      <c r="P24" t="s">
        <v>162</v>
      </c>
      <c r="U24" s="179"/>
      <c r="V24" s="179"/>
      <c r="W24" s="179"/>
    </row>
    <row r="25" spans="2:23" ht="16.5" hidden="1" customHeight="1">
      <c r="B25" t="str">
        <f t="shared" si="7"/>
        <v>111021</v>
      </c>
      <c r="C25" s="179">
        <v>111021101</v>
      </c>
      <c r="D25" t="s">
        <v>163</v>
      </c>
      <c r="E25" s="179"/>
      <c r="F25" s="179">
        <v>2067726.46</v>
      </c>
      <c r="G25" s="179">
        <v>7065549.1600000001</v>
      </c>
      <c r="H25" s="179"/>
      <c r="I25" s="179"/>
      <c r="J25" s="191">
        <v>0</v>
      </c>
      <c r="K25" s="191">
        <v>3119742.87</v>
      </c>
      <c r="L25" s="185" t="s">
        <v>161</v>
      </c>
      <c r="N25" s="192" t="s">
        <v>119</v>
      </c>
      <c r="O25" t="s">
        <v>141</v>
      </c>
      <c r="P25" t="s">
        <v>162</v>
      </c>
      <c r="S25" s="193" t="s">
        <v>121</v>
      </c>
      <c r="T25" s="182"/>
      <c r="U25" s="191">
        <f>SUBTOTAL(9,U27:U48)</f>
        <v>0</v>
      </c>
      <c r="V25" s="191">
        <f>SUBTOTAL(9,V27:V48)</f>
        <v>0</v>
      </c>
      <c r="W25" s="191">
        <f>SUBTOTAL(9,W27:W48)</f>
        <v>0</v>
      </c>
    </row>
    <row r="26" spans="2:23" ht="16.5" hidden="1" customHeight="1">
      <c r="B26" t="str">
        <f t="shared" si="7"/>
        <v>111021</v>
      </c>
      <c r="C26" s="179">
        <v>111021102</v>
      </c>
      <c r="D26" t="s">
        <v>164</v>
      </c>
      <c r="E26" s="179"/>
      <c r="F26" s="179"/>
      <c r="G26" s="179">
        <v>81081.33</v>
      </c>
      <c r="H26" s="179"/>
      <c r="I26" s="179"/>
      <c r="J26" s="191">
        <v>9557733.9000000004</v>
      </c>
      <c r="K26" s="191">
        <v>0</v>
      </c>
      <c r="L26" s="185" t="s">
        <v>161</v>
      </c>
      <c r="N26" s="192" t="s">
        <v>119</v>
      </c>
      <c r="O26" t="s">
        <v>141</v>
      </c>
      <c r="P26" t="s">
        <v>162</v>
      </c>
      <c r="S26" t="s">
        <v>165</v>
      </c>
    </row>
    <row r="27" spans="2:23" ht="16.5" hidden="1" customHeight="1">
      <c r="B27" t="str">
        <f t="shared" si="7"/>
        <v>111021</v>
      </c>
      <c r="C27" s="179">
        <v>111021103</v>
      </c>
      <c r="D27" t="s">
        <v>166</v>
      </c>
      <c r="E27" s="179"/>
      <c r="F27" s="179"/>
      <c r="G27" s="179">
        <v>172120.58</v>
      </c>
      <c r="H27" s="179"/>
      <c r="I27" s="179"/>
      <c r="J27" s="191">
        <v>0</v>
      </c>
      <c r="K27" s="191">
        <v>1949937.22</v>
      </c>
      <c r="L27" s="185" t="s">
        <v>161</v>
      </c>
      <c r="N27" s="192" t="s">
        <v>119</v>
      </c>
      <c r="O27" t="s">
        <v>141</v>
      </c>
      <c r="P27" t="s">
        <v>162</v>
      </c>
      <c r="S27" t="e">
        <f>#REF!</f>
        <v>#REF!</v>
      </c>
      <c r="U27" s="179">
        <f t="shared" ref="U27:U34" si="8">ROUND(SUMIF(O:O,S27,J:J)/1000,0)</f>
        <v>0</v>
      </c>
      <c r="V27" s="179">
        <f t="shared" ref="V27:V33" si="9">ROUND(SUMIF(O:O,S27,F:F)/1000,0)</f>
        <v>0</v>
      </c>
      <c r="W27" s="179">
        <f t="shared" ref="W27:W32" si="10">ROUND(SUMIF(O:O,S27,E:E)/1000,0)</f>
        <v>0</v>
      </c>
    </row>
    <row r="28" spans="2:23" ht="16.5" hidden="1" customHeight="1">
      <c r="B28" t="str">
        <f t="shared" si="7"/>
        <v>111021</v>
      </c>
      <c r="C28" s="179">
        <v>111021104</v>
      </c>
      <c r="D28" t="s">
        <v>167</v>
      </c>
      <c r="E28" s="179"/>
      <c r="F28" s="179"/>
      <c r="G28" s="179">
        <v>2197170.92</v>
      </c>
      <c r="H28" s="179"/>
      <c r="I28" s="179"/>
      <c r="J28" s="191">
        <v>1685729.69</v>
      </c>
      <c r="K28" s="191">
        <v>0</v>
      </c>
      <c r="L28" s="185" t="s">
        <v>161</v>
      </c>
      <c r="N28" s="192" t="s">
        <v>119</v>
      </c>
      <c r="O28" t="s">
        <v>141</v>
      </c>
      <c r="P28" t="s">
        <v>162</v>
      </c>
      <c r="S28" t="e">
        <f>#REF!</f>
        <v>#REF!</v>
      </c>
      <c r="U28" s="179">
        <f t="shared" si="8"/>
        <v>0</v>
      </c>
      <c r="V28" s="179">
        <f t="shared" si="9"/>
        <v>0</v>
      </c>
      <c r="W28" s="179">
        <f t="shared" si="10"/>
        <v>0</v>
      </c>
    </row>
    <row r="29" spans="2:23" ht="16.5" hidden="1" customHeight="1">
      <c r="B29" t="str">
        <f t="shared" si="7"/>
        <v>111021</v>
      </c>
      <c r="C29" s="179">
        <v>111021105</v>
      </c>
      <c r="D29" t="s">
        <v>168</v>
      </c>
      <c r="E29" s="179"/>
      <c r="F29" s="179"/>
      <c r="G29" s="179">
        <v>0</v>
      </c>
      <c r="H29" s="179"/>
      <c r="I29" s="179"/>
      <c r="J29" s="191">
        <v>0</v>
      </c>
      <c r="K29" s="191">
        <v>0</v>
      </c>
      <c r="L29" s="185" t="s">
        <v>161</v>
      </c>
      <c r="N29" s="192" t="s">
        <v>119</v>
      </c>
      <c r="O29" t="s">
        <v>141</v>
      </c>
      <c r="P29" t="s">
        <v>162</v>
      </c>
      <c r="S29" t="e">
        <f>#REF!</f>
        <v>#REF!</v>
      </c>
      <c r="U29" s="179">
        <f t="shared" si="8"/>
        <v>0</v>
      </c>
      <c r="V29" s="179">
        <f t="shared" si="9"/>
        <v>0</v>
      </c>
      <c r="W29" s="179">
        <f t="shared" si="10"/>
        <v>0</v>
      </c>
    </row>
    <row r="30" spans="2:23" ht="16.5" hidden="1" customHeight="1">
      <c r="B30" t="str">
        <f t="shared" si="7"/>
        <v>111021</v>
      </c>
      <c r="C30" s="179">
        <v>111021106</v>
      </c>
      <c r="D30" t="s">
        <v>164</v>
      </c>
      <c r="E30" s="179"/>
      <c r="F30" s="179">
        <v>20047999.300000001</v>
      </c>
      <c r="G30" s="179">
        <v>320445.55</v>
      </c>
      <c r="H30" s="179"/>
      <c r="I30" s="179"/>
      <c r="J30" s="191">
        <v>0</v>
      </c>
      <c r="K30" s="191">
        <v>1263082.31</v>
      </c>
      <c r="L30" s="185" t="s">
        <v>161</v>
      </c>
      <c r="N30" s="192" t="s">
        <v>119</v>
      </c>
      <c r="O30" t="s">
        <v>141</v>
      </c>
      <c r="P30" t="s">
        <v>162</v>
      </c>
      <c r="S30" t="e">
        <f>#REF!</f>
        <v>#REF!</v>
      </c>
      <c r="U30" s="179">
        <f t="shared" si="8"/>
        <v>0</v>
      </c>
      <c r="V30" s="179">
        <f t="shared" si="9"/>
        <v>0</v>
      </c>
      <c r="W30" s="179">
        <f t="shared" si="10"/>
        <v>0</v>
      </c>
    </row>
    <row r="31" spans="2:23" ht="16.5" hidden="1" customHeight="1">
      <c r="B31" t="str">
        <f t="shared" si="7"/>
        <v>111021</v>
      </c>
      <c r="C31" s="179">
        <v>111021107</v>
      </c>
      <c r="D31" t="s">
        <v>169</v>
      </c>
      <c r="E31" s="179"/>
      <c r="F31" s="179"/>
      <c r="G31" s="179">
        <v>0</v>
      </c>
      <c r="H31" s="179"/>
      <c r="I31" s="179"/>
      <c r="J31" s="191">
        <v>2923004.52</v>
      </c>
      <c r="K31" s="191">
        <v>0</v>
      </c>
      <c r="L31" s="185" t="s">
        <v>161</v>
      </c>
      <c r="N31" s="192" t="s">
        <v>119</v>
      </c>
      <c r="O31" t="s">
        <v>141</v>
      </c>
      <c r="P31" t="s">
        <v>170</v>
      </c>
      <c r="S31" t="e">
        <f>#REF!</f>
        <v>#REF!</v>
      </c>
      <c r="U31" s="179">
        <f t="shared" si="8"/>
        <v>0</v>
      </c>
      <c r="V31" s="179">
        <f t="shared" si="9"/>
        <v>0</v>
      </c>
      <c r="W31" s="179">
        <f t="shared" si="10"/>
        <v>0</v>
      </c>
    </row>
    <row r="32" spans="2:23" ht="16.5" hidden="1" customHeight="1">
      <c r="B32" t="str">
        <f t="shared" si="7"/>
        <v>111021</v>
      </c>
      <c r="C32" s="179">
        <v>111021108</v>
      </c>
      <c r="D32" t="s">
        <v>171</v>
      </c>
      <c r="E32" s="179"/>
      <c r="F32" s="179">
        <v>78672.38</v>
      </c>
      <c r="G32" s="179">
        <v>194987.95</v>
      </c>
      <c r="H32" s="179"/>
      <c r="I32" s="179"/>
      <c r="J32" s="191">
        <v>0</v>
      </c>
      <c r="K32" s="191">
        <v>215572.82</v>
      </c>
      <c r="L32" s="185" t="s">
        <v>172</v>
      </c>
      <c r="N32" s="192" t="s">
        <v>119</v>
      </c>
      <c r="O32" t="s">
        <v>141</v>
      </c>
      <c r="P32" t="s">
        <v>173</v>
      </c>
      <c r="S32" t="e">
        <f>#REF!</f>
        <v>#REF!</v>
      </c>
      <c r="U32" s="179">
        <f t="shared" si="8"/>
        <v>0</v>
      </c>
      <c r="V32" s="179">
        <f t="shared" si="9"/>
        <v>0</v>
      </c>
      <c r="W32" s="179">
        <f t="shared" si="10"/>
        <v>0</v>
      </c>
    </row>
    <row r="33" spans="2:23" ht="16.5" hidden="1" customHeight="1">
      <c r="B33" t="str">
        <f t="shared" si="7"/>
        <v>112111</v>
      </c>
      <c r="C33" s="179">
        <v>112111101001</v>
      </c>
      <c r="D33" t="s">
        <v>174</v>
      </c>
      <c r="E33" s="179"/>
      <c r="F33" s="179">
        <v>27412.28</v>
      </c>
      <c r="G33" s="179">
        <v>1118330.6599999999</v>
      </c>
      <c r="H33" s="179"/>
      <c r="I33" s="179"/>
      <c r="J33" s="191">
        <v>0</v>
      </c>
      <c r="K33" s="191">
        <v>1236393.24</v>
      </c>
      <c r="L33" s="185" t="s">
        <v>172</v>
      </c>
      <c r="N33" s="192" t="s">
        <v>119</v>
      </c>
      <c r="O33" t="s">
        <v>175</v>
      </c>
      <c r="P33" t="s">
        <v>173</v>
      </c>
      <c r="S33" t="s">
        <v>176</v>
      </c>
      <c r="U33" s="179">
        <f t="shared" si="8"/>
        <v>-18437</v>
      </c>
      <c r="V33" s="179">
        <f t="shared" si="9"/>
        <v>0</v>
      </c>
    </row>
    <row r="34" spans="2:23" ht="16.5" hidden="1" customHeight="1">
      <c r="B34" t="str">
        <f t="shared" si="7"/>
        <v>112111</v>
      </c>
      <c r="C34" s="179">
        <v>112111101002</v>
      </c>
      <c r="D34" t="s">
        <v>177</v>
      </c>
      <c r="E34" s="179"/>
      <c r="F34" s="179">
        <v>161426.74</v>
      </c>
      <c r="G34" s="179">
        <v>874604.74</v>
      </c>
      <c r="H34" s="179"/>
      <c r="I34" s="179"/>
      <c r="J34" s="191">
        <v>0</v>
      </c>
      <c r="K34" s="191">
        <v>966937.05</v>
      </c>
      <c r="L34" s="185" t="s">
        <v>172</v>
      </c>
      <c r="N34" s="192" t="s">
        <v>119</v>
      </c>
      <c r="O34" t="s">
        <v>175</v>
      </c>
      <c r="P34" t="s">
        <v>173</v>
      </c>
      <c r="S34" t="e">
        <f>#REF!</f>
        <v>#REF!</v>
      </c>
      <c r="U34" s="179">
        <f t="shared" si="8"/>
        <v>0</v>
      </c>
      <c r="V34" s="179">
        <f>ROUND(SUMIF(O:O,S34,F:F)/1000,0)+1</f>
        <v>1</v>
      </c>
      <c r="W34" s="179">
        <f>ROUND(SUMIF(O:O,S34,E:E)/1000,0)</f>
        <v>0</v>
      </c>
    </row>
    <row r="35" spans="2:23" ht="16.5" hidden="1" customHeight="1">
      <c r="B35" t="str">
        <f t="shared" si="7"/>
        <v>112111</v>
      </c>
      <c r="C35" s="179">
        <v>112111101003</v>
      </c>
      <c r="D35" t="s">
        <v>178</v>
      </c>
      <c r="E35" s="179"/>
      <c r="F35" s="179">
        <v>125862.41</v>
      </c>
      <c r="G35" s="179">
        <v>2446348.3199999998</v>
      </c>
      <c r="H35" s="179"/>
      <c r="I35" s="179"/>
      <c r="J35" s="191">
        <v>0</v>
      </c>
      <c r="K35" s="191">
        <v>2704610.3</v>
      </c>
      <c r="L35" s="185" t="s">
        <v>172</v>
      </c>
      <c r="N35" s="192" t="s">
        <v>119</v>
      </c>
      <c r="O35" t="s">
        <v>175</v>
      </c>
      <c r="P35" t="s">
        <v>173</v>
      </c>
      <c r="U35" s="179"/>
      <c r="V35" s="179"/>
      <c r="W35" s="179"/>
    </row>
    <row r="36" spans="2:23" ht="16.5" hidden="1" customHeight="1">
      <c r="B36" t="str">
        <f t="shared" si="7"/>
        <v>112111</v>
      </c>
      <c r="C36" s="179">
        <v>112111101004</v>
      </c>
      <c r="D36" t="s">
        <v>179</v>
      </c>
      <c r="E36" s="179"/>
      <c r="F36" s="179">
        <v>353120.99</v>
      </c>
      <c r="G36" s="179">
        <v>1335286.8</v>
      </c>
      <c r="H36" s="179"/>
      <c r="I36" s="179"/>
      <c r="J36" s="191">
        <v>0</v>
      </c>
      <c r="K36" s="191">
        <v>0</v>
      </c>
      <c r="L36" s="185" t="s">
        <v>172</v>
      </c>
      <c r="N36" s="192" t="s">
        <v>119</v>
      </c>
      <c r="O36" t="s">
        <v>175</v>
      </c>
      <c r="P36" t="s">
        <v>173</v>
      </c>
      <c r="U36" s="179"/>
      <c r="V36" s="179"/>
      <c r="W36" s="179"/>
    </row>
    <row r="37" spans="2:23" ht="16.5" hidden="1" customHeight="1">
      <c r="B37" t="str">
        <f t="shared" si="7"/>
        <v>112111</v>
      </c>
      <c r="C37" s="179">
        <v>112111101005</v>
      </c>
      <c r="D37" t="s">
        <v>180</v>
      </c>
      <c r="E37" s="179"/>
      <c r="F37" s="179">
        <v>0</v>
      </c>
      <c r="G37" s="179">
        <v>402940.67</v>
      </c>
      <c r="H37" s="179"/>
      <c r="I37" s="179"/>
      <c r="J37" s="191">
        <v>0</v>
      </c>
      <c r="K37" s="191">
        <v>445479.16</v>
      </c>
      <c r="L37" s="185" t="s">
        <v>172</v>
      </c>
      <c r="N37" s="192" t="s">
        <v>119</v>
      </c>
      <c r="O37" t="s">
        <v>175</v>
      </c>
      <c r="P37" t="s">
        <v>173</v>
      </c>
      <c r="S37" t="e">
        <f>#REF!</f>
        <v>#REF!</v>
      </c>
      <c r="U37" s="179"/>
      <c r="V37" s="179"/>
      <c r="W37" s="179"/>
    </row>
    <row r="38" spans="2:23" ht="16.5" hidden="1" customHeight="1">
      <c r="B38" t="str">
        <f t="shared" si="7"/>
        <v>112111</v>
      </c>
      <c r="C38" s="179">
        <v>112111101006</v>
      </c>
      <c r="D38" t="s">
        <v>181</v>
      </c>
      <c r="E38" s="179"/>
      <c r="F38" s="179">
        <v>58012.73</v>
      </c>
      <c r="G38" s="179">
        <v>227160.92</v>
      </c>
      <c r="H38" s="179"/>
      <c r="I38" s="179"/>
      <c r="J38" s="191">
        <v>0</v>
      </c>
      <c r="K38" s="191">
        <v>251142.35</v>
      </c>
      <c r="L38" s="185" t="s">
        <v>172</v>
      </c>
      <c r="N38" s="192" t="s">
        <v>119</v>
      </c>
      <c r="O38" t="s">
        <v>175</v>
      </c>
      <c r="P38" t="s">
        <v>173</v>
      </c>
      <c r="S38" t="e">
        <f>#REF!&amp;" LP"</f>
        <v>#REF!</v>
      </c>
      <c r="U38" s="179">
        <f>ROUND(SUMIF(O:O,S38,J:J)/1000,0)</f>
        <v>0</v>
      </c>
      <c r="V38" s="179">
        <f>ROUND(SUMIF(O:O,S38,F:F)/1000,0)</f>
        <v>0</v>
      </c>
      <c r="W38" s="179">
        <f>ROUND(SUMIF(O:O,S38,E:E)/1000,0)</f>
        <v>0</v>
      </c>
    </row>
    <row r="39" spans="2:23" ht="16.5" hidden="1" customHeight="1">
      <c r="B39" t="str">
        <f t="shared" si="7"/>
        <v>112111</v>
      </c>
      <c r="C39" s="179">
        <v>112111101007</v>
      </c>
      <c r="D39" t="s">
        <v>182</v>
      </c>
      <c r="E39" s="179"/>
      <c r="F39" s="179">
        <v>0</v>
      </c>
      <c r="G39" s="179">
        <v>209687</v>
      </c>
      <c r="H39" s="179"/>
      <c r="I39" s="179"/>
      <c r="J39" s="191">
        <v>0</v>
      </c>
      <c r="K39" s="191">
        <v>231823.82</v>
      </c>
      <c r="L39" s="185" t="s">
        <v>172</v>
      </c>
      <c r="N39" s="192" t="s">
        <v>119</v>
      </c>
      <c r="O39" t="s">
        <v>175</v>
      </c>
      <c r="P39" t="s">
        <v>173</v>
      </c>
      <c r="S39" t="e">
        <f>#REF!&amp;" LP"</f>
        <v>#REF!</v>
      </c>
      <c r="U39" s="179">
        <f>ROUND(SUMIF(O:O,S39,J:J)/1000,0)</f>
        <v>0</v>
      </c>
      <c r="V39" s="179">
        <f>ROUND(SUMIF(O:O,S39,F:F)/1000,0)</f>
        <v>0</v>
      </c>
      <c r="W39" s="179">
        <f>ROUND(SUMIF(O:O,S39,E:E)/1000,0)</f>
        <v>0</v>
      </c>
    </row>
    <row r="40" spans="2:23" ht="16.5" hidden="1" customHeight="1">
      <c r="B40" t="str">
        <f t="shared" si="7"/>
        <v>112111</v>
      </c>
      <c r="C40" s="179">
        <v>112111101008</v>
      </c>
      <c r="D40" t="s">
        <v>183</v>
      </c>
      <c r="E40" s="179"/>
      <c r="F40" s="179">
        <v>30267.51</v>
      </c>
      <c r="G40" s="179">
        <v>52694.79</v>
      </c>
      <c r="H40" s="179"/>
      <c r="I40" s="179"/>
      <c r="J40" s="191">
        <v>0</v>
      </c>
      <c r="K40" s="191">
        <v>58257.83</v>
      </c>
      <c r="L40" s="185" t="s">
        <v>172</v>
      </c>
      <c r="N40" s="192" t="s">
        <v>119</v>
      </c>
      <c r="O40" t="s">
        <v>175</v>
      </c>
      <c r="P40" t="s">
        <v>173</v>
      </c>
      <c r="S40" t="e">
        <f>#REF!&amp;" LP"</f>
        <v>#REF!</v>
      </c>
      <c r="U40" s="179">
        <f>ROUND(SUMIF(O:O,S40,J:J)/1000,0)</f>
        <v>0</v>
      </c>
      <c r="V40" s="179">
        <f>ROUND(SUMIF(O:O,S40,F:F)/1000,0)</f>
        <v>0</v>
      </c>
      <c r="W40" s="179">
        <f>ROUND(SUMIF(O:O,S40,E:E)/1000,0)</f>
        <v>0</v>
      </c>
    </row>
    <row r="41" spans="2:23" ht="16.5" hidden="1" customHeight="1">
      <c r="B41" t="str">
        <f t="shared" si="7"/>
        <v>112111</v>
      </c>
      <c r="C41" s="179">
        <v>112111101009</v>
      </c>
      <c r="D41" t="s">
        <v>184</v>
      </c>
      <c r="E41" s="179"/>
      <c r="F41" s="179">
        <v>0</v>
      </c>
      <c r="G41" s="179">
        <v>856221.9</v>
      </c>
      <c r="H41" s="179"/>
      <c r="I41" s="179"/>
      <c r="J41" s="191">
        <v>0</v>
      </c>
      <c r="K41" s="191">
        <v>946613.57</v>
      </c>
      <c r="L41" s="185" t="s">
        <v>172</v>
      </c>
      <c r="N41" s="192" t="s">
        <v>119</v>
      </c>
      <c r="O41" t="s">
        <v>175</v>
      </c>
      <c r="P41" t="s">
        <v>173</v>
      </c>
      <c r="S41" t="e">
        <f>#REF!&amp;" LP"</f>
        <v>#REF!</v>
      </c>
      <c r="U41" s="179">
        <f>ROUND(SUMIF(O:O,S41,J:J)/1000,0)</f>
        <v>0</v>
      </c>
      <c r="V41" s="179">
        <f>ROUND(SUMIF(O:O,S41,F:F)/1000,0)</f>
        <v>0</v>
      </c>
      <c r="W41" s="179">
        <f>ROUND(SUMIF(O:O,S41,E:E)/1000,0)</f>
        <v>0</v>
      </c>
    </row>
    <row r="42" spans="2:23" ht="16.5" hidden="1" customHeight="1">
      <c r="B42" t="str">
        <f t="shared" si="7"/>
        <v>112111</v>
      </c>
      <c r="C42" s="179">
        <v>112111101010</v>
      </c>
      <c r="D42" t="s">
        <v>185</v>
      </c>
      <c r="E42" s="179"/>
      <c r="F42" s="179">
        <v>113846.28</v>
      </c>
      <c r="G42" s="179">
        <v>2935617.98</v>
      </c>
      <c r="H42" s="179"/>
      <c r="I42" s="179"/>
      <c r="J42" s="191">
        <v>0</v>
      </c>
      <c r="K42" s="191">
        <v>3245532.28</v>
      </c>
      <c r="L42" s="185" t="s">
        <v>172</v>
      </c>
      <c r="N42" s="192" t="s">
        <v>119</v>
      </c>
      <c r="O42" t="s">
        <v>175</v>
      </c>
      <c r="P42" t="s">
        <v>173</v>
      </c>
      <c r="U42" s="179"/>
      <c r="V42" s="179"/>
      <c r="W42" s="179"/>
    </row>
    <row r="43" spans="2:23" ht="16.5" hidden="1" customHeight="1">
      <c r="B43" t="str">
        <f t="shared" si="7"/>
        <v>112111</v>
      </c>
      <c r="C43" s="179">
        <v>112111101011</v>
      </c>
      <c r="D43" t="s">
        <v>186</v>
      </c>
      <c r="E43" s="179"/>
      <c r="F43" s="179">
        <v>423745.18</v>
      </c>
      <c r="G43" s="179">
        <v>1644871.36</v>
      </c>
      <c r="H43" s="179"/>
      <c r="I43" s="179"/>
      <c r="J43" s="191">
        <v>0</v>
      </c>
      <c r="K43" s="191">
        <v>1818520.98</v>
      </c>
      <c r="L43" s="185" t="s">
        <v>172</v>
      </c>
      <c r="N43" s="192" t="s">
        <v>119</v>
      </c>
      <c r="O43" t="s">
        <v>175</v>
      </c>
      <c r="P43" t="s">
        <v>173</v>
      </c>
      <c r="U43" s="179"/>
      <c r="V43" s="179"/>
      <c r="W43" s="179"/>
    </row>
    <row r="44" spans="2:23" ht="16.5" hidden="1" customHeight="1">
      <c r="B44" t="str">
        <f t="shared" si="7"/>
        <v>112111</v>
      </c>
      <c r="C44" s="179">
        <v>112111101012</v>
      </c>
      <c r="D44" t="s">
        <v>187</v>
      </c>
      <c r="E44" s="179"/>
      <c r="F44" s="179">
        <v>237372.97</v>
      </c>
      <c r="G44" s="179">
        <v>711405.59</v>
      </c>
      <c r="H44" s="179"/>
      <c r="I44" s="179"/>
      <c r="J44" s="191">
        <v>0</v>
      </c>
      <c r="K44" s="191">
        <v>783425.65</v>
      </c>
      <c r="L44" s="185" t="s">
        <v>172</v>
      </c>
      <c r="N44" s="192" t="s">
        <v>119</v>
      </c>
      <c r="O44" t="s">
        <v>175</v>
      </c>
      <c r="P44" t="s">
        <v>173</v>
      </c>
      <c r="S44" t="e">
        <f>#REF!</f>
        <v>#REF!</v>
      </c>
      <c r="U44" s="179"/>
      <c r="V44" s="179"/>
      <c r="W44" s="179"/>
    </row>
    <row r="45" spans="2:23" ht="16.5" hidden="1" customHeight="1">
      <c r="B45" t="str">
        <f t="shared" si="7"/>
        <v>112111</v>
      </c>
      <c r="C45" s="179">
        <v>112111101013</v>
      </c>
      <c r="D45" t="s">
        <v>188</v>
      </c>
      <c r="E45" s="179"/>
      <c r="F45" s="179">
        <v>100891.71</v>
      </c>
      <c r="G45" s="179">
        <v>2752712.57</v>
      </c>
      <c r="H45" s="179"/>
      <c r="I45" s="179"/>
      <c r="J45" s="191">
        <v>0</v>
      </c>
      <c r="K45" s="191">
        <v>3043317.48</v>
      </c>
      <c r="L45" s="185" t="s">
        <v>172</v>
      </c>
      <c r="N45" s="192" t="s">
        <v>119</v>
      </c>
      <c r="O45" t="s">
        <v>175</v>
      </c>
      <c r="P45" t="s">
        <v>173</v>
      </c>
      <c r="S45" t="e">
        <f>#REF!</f>
        <v>#REF!</v>
      </c>
      <c r="U45" s="179">
        <f>ROUND(SUMIF(O:O,S45,J:J)/1000,0)</f>
        <v>0</v>
      </c>
      <c r="V45" s="179">
        <f>ROUND(SUMIF(O:O,S45,F:F)/1000,0)</f>
        <v>0</v>
      </c>
      <c r="W45" s="179">
        <f>ROUND(SUMIF(O:O,S45,E:E)/1000,0)</f>
        <v>0</v>
      </c>
    </row>
    <row r="46" spans="2:23" ht="16.5" hidden="1" customHeight="1">
      <c r="B46" t="str">
        <f t="shared" si="7"/>
        <v>112111</v>
      </c>
      <c r="C46" s="179">
        <v>112111101014</v>
      </c>
      <c r="D46" t="s">
        <v>189</v>
      </c>
      <c r="E46" s="179"/>
      <c r="F46" s="179">
        <v>390955.38</v>
      </c>
      <c r="G46" s="179">
        <v>1699910.79</v>
      </c>
      <c r="H46" s="179"/>
      <c r="I46" s="179"/>
      <c r="J46" s="191">
        <v>0</v>
      </c>
      <c r="K46" s="191">
        <v>1879371.02</v>
      </c>
      <c r="L46" s="185" t="s">
        <v>172</v>
      </c>
      <c r="N46" s="192" t="s">
        <v>119</v>
      </c>
      <c r="O46" t="s">
        <v>175</v>
      </c>
      <c r="P46" t="s">
        <v>173</v>
      </c>
      <c r="S46" t="e">
        <f>#REF!</f>
        <v>#REF!</v>
      </c>
      <c r="U46" s="179">
        <f>ROUND(SUMIF(O:O,S46,J:J)/1000,0)</f>
        <v>0</v>
      </c>
      <c r="V46" s="179">
        <f>ROUND(SUMIF(O:O,S46,F:F)/1000,0)</f>
        <v>0</v>
      </c>
      <c r="W46" s="179">
        <f>ROUND(SUMIF(O:O,S46,E:E)/1000,0)</f>
        <v>0</v>
      </c>
    </row>
    <row r="47" spans="2:23" ht="16.5" hidden="1" customHeight="1">
      <c r="B47" t="str">
        <f t="shared" si="7"/>
        <v>112111</v>
      </c>
      <c r="C47" s="179">
        <v>112111101015</v>
      </c>
      <c r="D47" t="s">
        <v>190</v>
      </c>
      <c r="E47" s="179"/>
      <c r="F47" s="179">
        <v>244662.39999999999</v>
      </c>
      <c r="G47" s="179">
        <v>0</v>
      </c>
      <c r="H47" s="179"/>
      <c r="I47" s="179"/>
      <c r="J47" s="191">
        <v>0</v>
      </c>
      <c r="K47" s="191">
        <v>0</v>
      </c>
      <c r="L47" s="185" t="s">
        <v>172</v>
      </c>
      <c r="N47" s="192" t="s">
        <v>119</v>
      </c>
      <c r="O47" t="s">
        <v>175</v>
      </c>
      <c r="P47" t="s">
        <v>173</v>
      </c>
      <c r="S47" t="e">
        <f>#REF!</f>
        <v>#REF!</v>
      </c>
      <c r="U47" s="179">
        <f>ROUND(SUMIF(O:O,S47,J:J)/1000,0)</f>
        <v>0</v>
      </c>
      <c r="V47" s="179">
        <f>ROUND(SUMIF(O:O,S47,F:F)/1000,0)</f>
        <v>0</v>
      </c>
      <c r="W47" s="179">
        <f>ROUND(SUMIF(O:O,S47,E:E)/1000,0)</f>
        <v>0</v>
      </c>
    </row>
    <row r="48" spans="2:23" ht="16.5" hidden="1" customHeight="1">
      <c r="B48" t="str">
        <f t="shared" si="7"/>
        <v>112111</v>
      </c>
      <c r="C48" s="179">
        <v>112111101016</v>
      </c>
      <c r="D48" t="s">
        <v>191</v>
      </c>
      <c r="E48" s="179"/>
      <c r="F48" s="179">
        <v>10845.86</v>
      </c>
      <c r="G48" s="179">
        <v>1310543.74</v>
      </c>
      <c r="H48" s="179"/>
      <c r="I48" s="179"/>
      <c r="J48" s="191">
        <v>0</v>
      </c>
      <c r="K48" s="191">
        <v>0</v>
      </c>
      <c r="L48" s="185" t="s">
        <v>172</v>
      </c>
      <c r="N48" s="192" t="s">
        <v>119</v>
      </c>
      <c r="O48" t="s">
        <v>175</v>
      </c>
      <c r="P48" t="s">
        <v>173</v>
      </c>
      <c r="S48" t="s">
        <v>192</v>
      </c>
      <c r="U48" s="179">
        <f>ROUND(SUMIF(O:O,S48,J:J)/1000,0)</f>
        <v>-60056</v>
      </c>
      <c r="V48" s="179">
        <f>ROUND(SUMIF(O:O,S48,F:F)/1000,0)+97</f>
        <v>35042</v>
      </c>
      <c r="W48" s="179">
        <f>ROUND(SUMIF(O:O,S48,E:E)/1000,0)</f>
        <v>0</v>
      </c>
    </row>
    <row r="49" spans="2:23" ht="16.5" hidden="1" customHeight="1">
      <c r="B49" t="str">
        <f t="shared" si="7"/>
        <v>112111</v>
      </c>
      <c r="C49" s="179">
        <v>112111101017</v>
      </c>
      <c r="D49" t="s">
        <v>193</v>
      </c>
      <c r="E49" s="179"/>
      <c r="F49" s="179">
        <v>189171.96</v>
      </c>
      <c r="G49" s="179">
        <v>2918144.05</v>
      </c>
      <c r="H49" s="179"/>
      <c r="I49" s="179"/>
      <c r="J49" s="191">
        <v>0</v>
      </c>
      <c r="K49" s="191">
        <v>3226213.55</v>
      </c>
      <c r="L49" s="185" t="s">
        <v>172</v>
      </c>
      <c r="N49" s="192" t="s">
        <v>119</v>
      </c>
      <c r="O49" t="s">
        <v>175</v>
      </c>
      <c r="P49" t="s">
        <v>173</v>
      </c>
    </row>
    <row r="50" spans="2:23" ht="16.5" hidden="1" customHeight="1">
      <c r="B50" t="str">
        <f t="shared" si="7"/>
        <v>112111</v>
      </c>
      <c r="C50" s="179">
        <v>112111101018</v>
      </c>
      <c r="D50" t="s">
        <v>194</v>
      </c>
      <c r="E50" s="179"/>
      <c r="F50" s="179">
        <v>421222.89</v>
      </c>
      <c r="G50" s="179">
        <v>978539.34</v>
      </c>
      <c r="H50" s="179"/>
      <c r="I50" s="179"/>
      <c r="J50" s="191">
        <v>0</v>
      </c>
      <c r="K50" s="191">
        <v>1081844.02</v>
      </c>
      <c r="L50" s="185" t="s">
        <v>172</v>
      </c>
      <c r="N50" s="192" t="s">
        <v>119</v>
      </c>
      <c r="O50" t="s">
        <v>175</v>
      </c>
      <c r="P50" t="s">
        <v>173</v>
      </c>
      <c r="S50" s="193" t="s">
        <v>124</v>
      </c>
      <c r="T50" s="182"/>
      <c r="U50" s="191">
        <f>SUBTOTAL(9,U51:U75)</f>
        <v>0</v>
      </c>
      <c r="V50" s="191">
        <f>SUBTOTAL(9,V51:V75)</f>
        <v>0</v>
      </c>
      <c r="W50" s="191">
        <f>SUBTOTAL(9,W51:W75)</f>
        <v>0</v>
      </c>
    </row>
    <row r="51" spans="2:23" ht="16.5" hidden="1" customHeight="1">
      <c r="B51" t="str">
        <f t="shared" si="7"/>
        <v>112111</v>
      </c>
      <c r="C51" s="179">
        <v>112111101019</v>
      </c>
      <c r="D51" t="s">
        <v>195</v>
      </c>
      <c r="E51" s="179"/>
      <c r="F51" s="179">
        <v>0</v>
      </c>
      <c r="G51" s="179">
        <v>3232674.55</v>
      </c>
      <c r="H51" s="179"/>
      <c r="I51" s="179"/>
      <c r="J51" s="191">
        <v>0</v>
      </c>
      <c r="K51" s="191">
        <v>3573949.27</v>
      </c>
      <c r="L51" s="185" t="s">
        <v>172</v>
      </c>
      <c r="N51" s="192" t="s">
        <v>119</v>
      </c>
      <c r="O51" t="s">
        <v>175</v>
      </c>
      <c r="P51" t="s">
        <v>173</v>
      </c>
      <c r="S51" t="e">
        <f>#REF!</f>
        <v>#REF!</v>
      </c>
      <c r="U51" s="179">
        <f>ROUND(SUMIF(O:O,S51,J:J)/1000,0)</f>
        <v>0</v>
      </c>
      <c r="V51" s="179">
        <f>ROUND(SUMIF(O:O,S51,F:F)/1000,0)</f>
        <v>0</v>
      </c>
      <c r="W51" s="179">
        <f>ROUND(SUMIF(O:O,S51,E:E)/1000,0)</f>
        <v>0</v>
      </c>
    </row>
    <row r="52" spans="2:23" ht="16.5" hidden="1" customHeight="1">
      <c r="B52" t="str">
        <f t="shared" si="7"/>
        <v>112111</v>
      </c>
      <c r="C52" s="179">
        <v>112111101020</v>
      </c>
      <c r="D52" t="s">
        <v>196</v>
      </c>
      <c r="E52" s="179"/>
      <c r="F52" s="179">
        <v>466624.16</v>
      </c>
      <c r="G52" s="179">
        <v>978539.34</v>
      </c>
      <c r="H52" s="179"/>
      <c r="I52" s="179"/>
      <c r="J52" s="191">
        <v>0</v>
      </c>
      <c r="K52" s="191">
        <v>1081844.02</v>
      </c>
      <c r="L52" s="185" t="s">
        <v>172</v>
      </c>
      <c r="N52" s="192" t="s">
        <v>119</v>
      </c>
      <c r="O52" t="s">
        <v>175</v>
      </c>
      <c r="P52" t="s">
        <v>173</v>
      </c>
      <c r="S52" t="e">
        <f>#REF!</f>
        <v>#REF!</v>
      </c>
      <c r="U52" s="179">
        <f>ROUND(SUMIF(O:O,S52,J:J)/1000,0)</f>
        <v>0</v>
      </c>
      <c r="V52" s="179">
        <f>ROUND(SUMIF(O:O,S52,F:F)/1000,0)</f>
        <v>0</v>
      </c>
      <c r="W52" s="179">
        <f>ROUND(SUMIF(O:O,S52,E:E)/1000,0)</f>
        <v>0</v>
      </c>
    </row>
    <row r="53" spans="2:23" ht="16.5" hidden="1" customHeight="1">
      <c r="B53" t="str">
        <f t="shared" si="7"/>
        <v>112111</v>
      </c>
      <c r="C53" s="179">
        <v>112111101021</v>
      </c>
      <c r="D53" t="s">
        <v>197</v>
      </c>
      <c r="E53" s="179"/>
      <c r="F53" s="179">
        <v>141248.39000000001</v>
      </c>
      <c r="G53" s="179">
        <v>1320101.97</v>
      </c>
      <c r="H53" s="179"/>
      <c r="I53" s="179"/>
      <c r="J53" s="191">
        <v>0</v>
      </c>
      <c r="K53" s="191">
        <v>1459465.66</v>
      </c>
      <c r="L53" s="185" t="s">
        <v>172</v>
      </c>
      <c r="N53" s="192" t="s">
        <v>119</v>
      </c>
      <c r="O53" t="s">
        <v>175</v>
      </c>
      <c r="P53" t="s">
        <v>173</v>
      </c>
      <c r="S53" t="e">
        <f>#REF!</f>
        <v>#REF!</v>
      </c>
      <c r="U53" s="179">
        <f>ROUND(SUMIF(O:O,S53,J:J)/1000,0)</f>
        <v>0</v>
      </c>
      <c r="V53" s="179">
        <f>ROUND(SUMIF(O:O,S53,F:F)/1000,0)</f>
        <v>0</v>
      </c>
      <c r="W53" s="179">
        <f>ROUND(SUMIF(O:O,S53,E:E)/1000,0)</f>
        <v>0</v>
      </c>
    </row>
    <row r="54" spans="2:23" ht="16.5" hidden="1" customHeight="1">
      <c r="B54" t="str">
        <f t="shared" ref="B54:B85" si="11">LEFT(C54,6)</f>
        <v>112111</v>
      </c>
      <c r="C54" s="179">
        <v>112111101022</v>
      </c>
      <c r="D54" t="s">
        <v>198</v>
      </c>
      <c r="E54" s="179"/>
      <c r="F54" s="179">
        <v>190551.65</v>
      </c>
      <c r="G54" s="179">
        <v>1154598.45</v>
      </c>
      <c r="H54" s="179"/>
      <c r="I54" s="179"/>
      <c r="J54" s="191">
        <v>0</v>
      </c>
      <c r="K54" s="191">
        <v>0</v>
      </c>
      <c r="L54" s="185" t="s">
        <v>172</v>
      </c>
      <c r="N54" s="192" t="s">
        <v>119</v>
      </c>
      <c r="O54" t="s">
        <v>175</v>
      </c>
      <c r="P54" t="s">
        <v>173</v>
      </c>
      <c r="S54" t="e">
        <f>#REF!</f>
        <v>#REF!</v>
      </c>
      <c r="U54" s="194">
        <f>SUBTOTAL(9,U51:U53)</f>
        <v>0</v>
      </c>
      <c r="V54" s="194">
        <f>SUBTOTAL(9,V51:V53)</f>
        <v>0</v>
      </c>
      <c r="W54" s="194">
        <f>ROUND(SUMIF(O:O,S54,E:E)/1000,0)</f>
        <v>0</v>
      </c>
    </row>
    <row r="55" spans="2:23" ht="16.5" hidden="1" customHeight="1">
      <c r="B55" t="str">
        <f t="shared" si="11"/>
        <v>112111</v>
      </c>
      <c r="C55" s="179">
        <v>112111101023</v>
      </c>
      <c r="D55" t="s">
        <v>199</v>
      </c>
      <c r="E55" s="179"/>
      <c r="F55" s="179">
        <v>166471.32</v>
      </c>
      <c r="G55" s="179">
        <v>653584.51</v>
      </c>
      <c r="H55" s="179"/>
      <c r="I55" s="179"/>
      <c r="J55" s="191">
        <v>0</v>
      </c>
      <c r="K55" s="191">
        <v>722583.68</v>
      </c>
      <c r="L55" s="185" t="s">
        <v>172</v>
      </c>
      <c r="N55" s="192" t="s">
        <v>119</v>
      </c>
      <c r="O55" t="s">
        <v>175</v>
      </c>
      <c r="P55" t="s">
        <v>173</v>
      </c>
      <c r="U55" s="179"/>
      <c r="V55" s="179"/>
      <c r="W55" s="179"/>
    </row>
    <row r="56" spans="2:23" ht="16.5" hidden="1" customHeight="1">
      <c r="B56" t="str">
        <f t="shared" si="11"/>
        <v>112111</v>
      </c>
      <c r="C56" s="179">
        <v>112111101024</v>
      </c>
      <c r="D56" t="s">
        <v>200</v>
      </c>
      <c r="E56" s="179"/>
      <c r="F56" s="179">
        <v>93980.63</v>
      </c>
      <c r="G56" s="179">
        <v>1373441.02</v>
      </c>
      <c r="H56" s="179"/>
      <c r="I56" s="179"/>
      <c r="J56" s="191">
        <v>0</v>
      </c>
      <c r="K56" s="191">
        <v>1518435.74</v>
      </c>
      <c r="L56" s="185" t="s">
        <v>172</v>
      </c>
      <c r="N56" s="192" t="s">
        <v>119</v>
      </c>
      <c r="O56" t="s">
        <v>175</v>
      </c>
      <c r="P56" t="s">
        <v>173</v>
      </c>
      <c r="S56" t="e">
        <f>#REF!</f>
        <v>#REF!</v>
      </c>
      <c r="U56" s="179">
        <f>ROUND(SUMIF(O:O,S56,J:J)/1000,0)</f>
        <v>0</v>
      </c>
      <c r="V56" s="179">
        <f>ROUND(SUMIF(O:O,S56,F:F)/1000,0)+173</f>
        <v>173</v>
      </c>
      <c r="W56" s="179">
        <f>ROUND(SUMIF(O:O,S56,E:E)/1000,0)</f>
        <v>0</v>
      </c>
    </row>
    <row r="57" spans="2:23" ht="16.5" hidden="1" customHeight="1">
      <c r="B57" t="str">
        <f t="shared" si="11"/>
        <v>112111</v>
      </c>
      <c r="C57" s="179">
        <v>112111101025</v>
      </c>
      <c r="D57" t="s">
        <v>201</v>
      </c>
      <c r="E57" s="179"/>
      <c r="F57" s="179">
        <v>197243.29</v>
      </c>
      <c r="G57" s="179">
        <v>448363.23</v>
      </c>
      <c r="H57" s="179"/>
      <c r="I57" s="179"/>
      <c r="J57" s="191">
        <v>0</v>
      </c>
      <c r="K57" s="191">
        <v>495697.03</v>
      </c>
      <c r="L57" s="185" t="s">
        <v>172</v>
      </c>
      <c r="N57" s="192" t="s">
        <v>119</v>
      </c>
      <c r="O57" t="s">
        <v>175</v>
      </c>
      <c r="P57" t="s">
        <v>173</v>
      </c>
      <c r="S57" t="e">
        <f>#REF!</f>
        <v>#REF!</v>
      </c>
      <c r="U57" s="194">
        <f>SUBTOTAL(9,U56)</f>
        <v>0</v>
      </c>
      <c r="V57" s="194">
        <f>SUBTOTAL(9,V56)</f>
        <v>0</v>
      </c>
      <c r="W57" s="194">
        <f>SUBTOTAL(9,W56)</f>
        <v>0</v>
      </c>
    </row>
    <row r="58" spans="2:23" ht="16.5" hidden="1" customHeight="1">
      <c r="B58" t="str">
        <f t="shared" si="11"/>
        <v>112111</v>
      </c>
      <c r="C58" s="179">
        <v>112111101026</v>
      </c>
      <c r="D58" t="s">
        <v>202</v>
      </c>
      <c r="E58" s="179"/>
      <c r="F58" s="179">
        <v>64719.51</v>
      </c>
      <c r="G58" s="179">
        <v>1572652.5</v>
      </c>
      <c r="H58" s="179"/>
      <c r="I58" s="179"/>
      <c r="J58" s="191">
        <v>0</v>
      </c>
      <c r="K58" s="191">
        <v>1738677.96</v>
      </c>
      <c r="L58" s="185" t="s">
        <v>172</v>
      </c>
      <c r="N58" s="192" t="s">
        <v>119</v>
      </c>
      <c r="O58" t="s">
        <v>175</v>
      </c>
      <c r="P58" t="s">
        <v>173</v>
      </c>
      <c r="U58" s="179"/>
      <c r="V58" s="179"/>
      <c r="W58" s="179"/>
    </row>
    <row r="59" spans="2:23" ht="16.5" hidden="1" customHeight="1">
      <c r="B59" t="str">
        <f t="shared" si="11"/>
        <v>112111</v>
      </c>
      <c r="C59" s="179">
        <v>112111101027</v>
      </c>
      <c r="D59" t="s">
        <v>203</v>
      </c>
      <c r="E59" s="179"/>
      <c r="F59" s="179">
        <v>227006.35</v>
      </c>
      <c r="G59" s="179">
        <v>627516.26</v>
      </c>
      <c r="H59" s="179"/>
      <c r="I59" s="179"/>
      <c r="J59" s="191">
        <v>0</v>
      </c>
      <c r="K59" s="191">
        <v>693763.37</v>
      </c>
      <c r="L59" s="185" t="s">
        <v>172</v>
      </c>
      <c r="N59" s="192" t="s">
        <v>119</v>
      </c>
      <c r="O59" t="s">
        <v>175</v>
      </c>
      <c r="P59" t="s">
        <v>173</v>
      </c>
      <c r="S59" t="e">
        <f>#REF!</f>
        <v>#REF!</v>
      </c>
      <c r="U59" s="179"/>
      <c r="V59" s="179"/>
      <c r="W59" s="179"/>
    </row>
    <row r="60" spans="2:23" ht="16.5" hidden="1" customHeight="1">
      <c r="B60" t="str">
        <f t="shared" si="11"/>
        <v>112111</v>
      </c>
      <c r="C60" s="179">
        <v>112111101028</v>
      </c>
      <c r="D60" t="s">
        <v>204</v>
      </c>
      <c r="E60" s="179"/>
      <c r="F60" s="179">
        <v>88280.25</v>
      </c>
      <c r="G60" s="179">
        <v>815030.12</v>
      </c>
      <c r="H60" s="179"/>
      <c r="I60" s="179"/>
      <c r="J60" s="191">
        <v>0</v>
      </c>
      <c r="K60" s="191">
        <v>901071.85</v>
      </c>
      <c r="L60" s="185" t="s">
        <v>172</v>
      </c>
      <c r="N60" s="192" t="s">
        <v>119</v>
      </c>
      <c r="O60" t="s">
        <v>175</v>
      </c>
      <c r="P60" t="s">
        <v>173</v>
      </c>
      <c r="S60" t="e">
        <f>#REF!</f>
        <v>#REF!</v>
      </c>
      <c r="U60" s="179">
        <f>ROUND(SUMIF(O:O,S60,J:J)/1000,0)</f>
        <v>0</v>
      </c>
      <c r="V60" s="179">
        <f>ROUND(SUMIF(O:O,S60,F:F)/1000,0)-173-96</f>
        <v>-269</v>
      </c>
      <c r="W60" s="179">
        <f>ROUND(SUMIF(O:O,S60,E:E)/1000,0)</f>
        <v>0</v>
      </c>
    </row>
    <row r="61" spans="2:23" ht="16.5" hidden="1" customHeight="1">
      <c r="B61" t="str">
        <f t="shared" si="11"/>
        <v>112111</v>
      </c>
      <c r="C61" s="179">
        <v>112111101029</v>
      </c>
      <c r="D61" t="s">
        <v>205</v>
      </c>
      <c r="E61" s="179"/>
      <c r="F61" s="179">
        <v>117301.75</v>
      </c>
      <c r="G61" s="179">
        <v>1052526.94</v>
      </c>
      <c r="H61" s="179"/>
      <c r="I61" s="179"/>
      <c r="J61" s="191">
        <v>0</v>
      </c>
      <c r="K61" s="191">
        <v>1163642.6299999999</v>
      </c>
      <c r="L61" s="185" t="s">
        <v>172</v>
      </c>
      <c r="N61" s="192" t="s">
        <v>119</v>
      </c>
      <c r="O61" t="s">
        <v>175</v>
      </c>
      <c r="P61" t="s">
        <v>173</v>
      </c>
      <c r="S61" t="e">
        <f>#REF!</f>
        <v>#REF!</v>
      </c>
      <c r="U61" s="179">
        <f>ROUND(SUMIF(O:O,S61,J:J)/1000,0)</f>
        <v>0</v>
      </c>
      <c r="V61" s="179">
        <f>ROUND(SUMIF(O:O,S61,F:F)/1000,0)-1</f>
        <v>-1</v>
      </c>
      <c r="W61" s="179">
        <f>ROUND(SUMIF(O:O,S61,E:E)/1000,0)</f>
        <v>0</v>
      </c>
    </row>
    <row r="62" spans="2:23" ht="16.5" hidden="1" customHeight="1">
      <c r="B62" t="str">
        <f t="shared" si="11"/>
        <v>112111</v>
      </c>
      <c r="C62" s="179">
        <v>112111101030</v>
      </c>
      <c r="D62" t="s">
        <v>206</v>
      </c>
      <c r="E62" s="179"/>
      <c r="F62" s="179">
        <v>151337.56</v>
      </c>
      <c r="G62" s="179">
        <v>0</v>
      </c>
      <c r="H62" s="179"/>
      <c r="I62" s="179"/>
      <c r="J62" s="191">
        <v>0</v>
      </c>
      <c r="K62" s="191">
        <v>0</v>
      </c>
      <c r="L62" s="185" t="s">
        <v>172</v>
      </c>
      <c r="N62" s="192" t="s">
        <v>119</v>
      </c>
      <c r="O62" t="s">
        <v>175</v>
      </c>
      <c r="P62" t="s">
        <v>173</v>
      </c>
    </row>
    <row r="63" spans="2:23" ht="16.5" hidden="1" customHeight="1">
      <c r="B63" t="str">
        <f t="shared" si="11"/>
        <v>112111</v>
      </c>
      <c r="C63" s="179">
        <v>112111101031</v>
      </c>
      <c r="D63" t="s">
        <v>207</v>
      </c>
      <c r="E63" s="179"/>
      <c r="F63" s="179">
        <v>0</v>
      </c>
      <c r="G63" s="179">
        <v>985888.2</v>
      </c>
      <c r="H63" s="179"/>
      <c r="I63" s="179"/>
      <c r="J63" s="191">
        <v>0</v>
      </c>
      <c r="K63" s="191">
        <v>1089968.7</v>
      </c>
      <c r="L63" s="185" t="s">
        <v>172</v>
      </c>
      <c r="N63" s="192" t="s">
        <v>119</v>
      </c>
      <c r="O63" t="s">
        <v>175</v>
      </c>
      <c r="P63" t="s">
        <v>173</v>
      </c>
      <c r="S63" t="e">
        <f>#REF!</f>
        <v>#REF!</v>
      </c>
      <c r="U63" s="179">
        <f>SUBTOTAL(9,U51:U61)</f>
        <v>0</v>
      </c>
      <c r="V63" s="179">
        <f>SUBTOTAL(9,V51:V61)</f>
        <v>0</v>
      </c>
      <c r="W63" s="179">
        <f>SUBTOTAL(9,W51:W61)</f>
        <v>0</v>
      </c>
    </row>
    <row r="64" spans="2:23" ht="16.5" hidden="1" customHeight="1">
      <c r="B64" t="str">
        <f t="shared" si="11"/>
        <v>112111</v>
      </c>
      <c r="C64" s="179">
        <v>112111101032</v>
      </c>
      <c r="D64" t="s">
        <v>208</v>
      </c>
      <c r="E64" s="179"/>
      <c r="F64" s="179">
        <v>138726.1</v>
      </c>
      <c r="G64" s="179">
        <v>155.05000000000001</v>
      </c>
      <c r="H64" s="179"/>
      <c r="I64" s="179"/>
      <c r="J64" s="191">
        <v>0</v>
      </c>
      <c r="K64" s="191">
        <v>166.71</v>
      </c>
      <c r="L64" s="185" t="s">
        <v>172</v>
      </c>
      <c r="N64" s="192" t="s">
        <v>119</v>
      </c>
      <c r="O64" t="s">
        <v>175</v>
      </c>
      <c r="P64" t="s">
        <v>173</v>
      </c>
      <c r="U64" s="179"/>
      <c r="V64" s="179"/>
      <c r="W64" s="179"/>
    </row>
    <row r="65" spans="2:23" ht="16.5" hidden="1" customHeight="1">
      <c r="B65" t="str">
        <f t="shared" si="11"/>
        <v>112111</v>
      </c>
      <c r="C65" s="179">
        <v>112111101033</v>
      </c>
      <c r="D65" t="s">
        <v>209</v>
      </c>
      <c r="E65" s="179"/>
      <c r="F65" s="179"/>
      <c r="G65" s="179">
        <v>1500.63</v>
      </c>
      <c r="H65" s="179"/>
      <c r="I65" s="179"/>
      <c r="J65" s="191">
        <v>0</v>
      </c>
      <c r="K65" s="191">
        <v>0</v>
      </c>
      <c r="L65" s="185" t="s">
        <v>172</v>
      </c>
      <c r="N65" s="192" t="s">
        <v>119</v>
      </c>
      <c r="O65" t="s">
        <v>175</v>
      </c>
      <c r="P65" t="s">
        <v>173</v>
      </c>
      <c r="S65" t="e">
        <f>#REF!</f>
        <v>#REF!</v>
      </c>
      <c r="U65" s="179">
        <f>ROUND(SUMIF(O:O,S65,J:J)/1000,0)</f>
        <v>0</v>
      </c>
      <c r="V65" s="179">
        <f>ROUND(SUMIF(O:O,S65,F:F)/1000,0)-1</f>
        <v>-1</v>
      </c>
      <c r="W65" s="179">
        <f>ROUND(SUMIF(O:O,S65,E:E)/1000,0)</f>
        <v>0</v>
      </c>
    </row>
    <row r="66" spans="2:23" ht="16.5" hidden="1" customHeight="1">
      <c r="B66" t="str">
        <f t="shared" si="11"/>
        <v>112111</v>
      </c>
      <c r="C66" s="179">
        <v>112111101034</v>
      </c>
      <c r="D66" t="s">
        <v>210</v>
      </c>
      <c r="E66" s="179"/>
      <c r="F66" s="179"/>
      <c r="G66" s="179">
        <v>392.66</v>
      </c>
      <c r="H66" s="179"/>
      <c r="I66" s="179"/>
      <c r="J66" s="191">
        <v>0</v>
      </c>
      <c r="K66" s="191">
        <v>434.1</v>
      </c>
      <c r="L66" s="185" t="s">
        <v>172</v>
      </c>
      <c r="N66" s="192" t="s">
        <v>119</v>
      </c>
      <c r="O66" t="s">
        <v>175</v>
      </c>
      <c r="P66" t="s">
        <v>173</v>
      </c>
      <c r="S66" t="e">
        <f>#REF!</f>
        <v>#REF!</v>
      </c>
      <c r="U66" s="179">
        <f>ROUND(SUMIF(O:O,S66,J:J)/1000,0)</f>
        <v>0</v>
      </c>
      <c r="V66" s="179">
        <f>ROUND(SUMIF(O:O,S66,F:F)/1000,0)+1</f>
        <v>1</v>
      </c>
      <c r="W66" s="179">
        <f>ROUND(SUMIF(O:O,S66,E:E)/1000,0)</f>
        <v>0</v>
      </c>
    </row>
    <row r="67" spans="2:23" ht="16.5" hidden="1" customHeight="1">
      <c r="B67" t="str">
        <f t="shared" si="11"/>
        <v>112111</v>
      </c>
      <c r="C67" s="179">
        <v>112111101035</v>
      </c>
      <c r="D67" t="s">
        <v>211</v>
      </c>
      <c r="E67" s="179"/>
      <c r="F67" s="179"/>
      <c r="G67" s="179">
        <v>636.87</v>
      </c>
      <c r="H67" s="179"/>
      <c r="I67" s="179"/>
      <c r="J67" s="191">
        <v>0</v>
      </c>
      <c r="K67" s="191">
        <v>704.2</v>
      </c>
      <c r="L67" s="185" t="s">
        <v>172</v>
      </c>
      <c r="N67" s="192" t="s">
        <v>119</v>
      </c>
      <c r="O67" t="s">
        <v>175</v>
      </c>
      <c r="P67" t="s">
        <v>173</v>
      </c>
      <c r="S67" t="e">
        <f>#REF!</f>
        <v>#REF!</v>
      </c>
      <c r="U67" s="179">
        <f>SUBTOTAL(9,U65:U66)</f>
        <v>0</v>
      </c>
      <c r="V67" s="179">
        <f>SUBTOTAL(9,V65:V66)</f>
        <v>0</v>
      </c>
      <c r="W67" s="179">
        <f>SUBTOTAL(9,W65:W66)</f>
        <v>0</v>
      </c>
    </row>
    <row r="68" spans="2:23" ht="16.5" hidden="1" customHeight="1">
      <c r="B68" t="str">
        <f t="shared" si="11"/>
        <v>112111</v>
      </c>
      <c r="C68" s="179">
        <v>112111101036</v>
      </c>
      <c r="D68" t="s">
        <v>212</v>
      </c>
      <c r="E68" s="179"/>
      <c r="F68" s="179"/>
      <c r="G68" s="179">
        <v>837.01</v>
      </c>
      <c r="H68" s="179"/>
      <c r="I68" s="179"/>
      <c r="J68" s="191">
        <v>0</v>
      </c>
      <c r="K68" s="191">
        <v>925.39</v>
      </c>
      <c r="L68" s="185" t="s">
        <v>172</v>
      </c>
      <c r="N68" s="192" t="s">
        <v>119</v>
      </c>
      <c r="O68" t="s">
        <v>175</v>
      </c>
      <c r="P68" t="s">
        <v>173</v>
      </c>
      <c r="U68" s="179"/>
      <c r="V68" s="179"/>
      <c r="W68" s="179"/>
    </row>
    <row r="69" spans="2:23" ht="16.5" hidden="1" customHeight="1">
      <c r="B69" t="str">
        <f t="shared" si="11"/>
        <v>112111</v>
      </c>
      <c r="C69" s="179">
        <v>112111101037</v>
      </c>
      <c r="D69" t="s">
        <v>213</v>
      </c>
      <c r="E69" s="179"/>
      <c r="F69" s="179"/>
      <c r="G69" s="179">
        <v>137887638.52000001</v>
      </c>
      <c r="H69" s="179"/>
      <c r="I69" s="179"/>
      <c r="J69" s="191">
        <v>0</v>
      </c>
      <c r="K69" s="191">
        <v>143419310.11000001</v>
      </c>
      <c r="L69" s="185" t="s">
        <v>172</v>
      </c>
      <c r="N69" s="192" t="s">
        <v>119</v>
      </c>
      <c r="O69" t="s">
        <v>175</v>
      </c>
      <c r="P69" t="s">
        <v>214</v>
      </c>
      <c r="S69" t="e">
        <f>#REF!</f>
        <v>#REF!</v>
      </c>
      <c r="U69" s="179">
        <f>U67+U63</f>
        <v>0</v>
      </c>
      <c r="V69" s="179">
        <f>V67+V63</f>
        <v>0</v>
      </c>
      <c r="W69" s="179">
        <f>W67+W63</f>
        <v>0</v>
      </c>
    </row>
    <row r="70" spans="2:23" ht="16.5" hidden="1" customHeight="1">
      <c r="B70" t="str">
        <f t="shared" si="11"/>
        <v>112111</v>
      </c>
      <c r="C70" s="179">
        <v>112111102001</v>
      </c>
      <c r="D70" t="s">
        <v>215</v>
      </c>
      <c r="E70" s="179"/>
      <c r="F70" s="179">
        <v>21022041.309999999</v>
      </c>
      <c r="G70" s="179">
        <v>0</v>
      </c>
      <c r="H70" s="179"/>
      <c r="I70" s="179"/>
      <c r="J70" s="191">
        <v>115859985.56999999</v>
      </c>
      <c r="K70" s="191">
        <v>12712</v>
      </c>
      <c r="L70" s="185" t="s">
        <v>216</v>
      </c>
      <c r="N70" s="192" t="s">
        <v>119</v>
      </c>
      <c r="O70" t="s">
        <v>175</v>
      </c>
      <c r="U70" s="179"/>
      <c r="V70" s="179"/>
      <c r="W70" s="179"/>
    </row>
    <row r="71" spans="2:23" ht="16.5" hidden="1" customHeight="1">
      <c r="B71" t="str">
        <f t="shared" si="11"/>
        <v>112411</v>
      </c>
      <c r="C71" s="179">
        <v>112411101</v>
      </c>
      <c r="D71" t="s">
        <v>217</v>
      </c>
      <c r="E71" s="179"/>
      <c r="F71" s="179">
        <v>9038.83</v>
      </c>
      <c r="G71" s="179">
        <v>7406.11</v>
      </c>
      <c r="H71" s="179"/>
      <c r="I71" s="179"/>
      <c r="J71" s="191">
        <v>0</v>
      </c>
      <c r="K71" s="191">
        <v>0</v>
      </c>
      <c r="L71" s="185" t="s">
        <v>216</v>
      </c>
      <c r="N71" s="192" t="s">
        <v>119</v>
      </c>
      <c r="O71" t="s">
        <v>218</v>
      </c>
      <c r="S71" t="e">
        <f>#REF!</f>
        <v>#REF!</v>
      </c>
      <c r="U71" s="179">
        <f>ROUND(SUMIF(O:O,S71,J:J)/1000,0)</f>
        <v>0</v>
      </c>
      <c r="V71" s="179">
        <f>ROUND(SUMIF(O:O,S71,F:F)/1000,0)</f>
        <v>0</v>
      </c>
      <c r="W71" s="179">
        <f>ROUND(SUMIF(O:O,S71,E:E)/1000,0)</f>
        <v>0</v>
      </c>
    </row>
    <row r="72" spans="2:23" ht="16.5" hidden="1" customHeight="1">
      <c r="B72" t="str">
        <f t="shared" si="11"/>
        <v>112411</v>
      </c>
      <c r="C72" s="179">
        <v>112411102</v>
      </c>
      <c r="D72" t="s">
        <v>219</v>
      </c>
      <c r="E72" s="179"/>
      <c r="F72" s="179"/>
      <c r="G72" s="179">
        <v>0</v>
      </c>
      <c r="H72" s="179"/>
      <c r="I72" s="179"/>
      <c r="J72" s="191">
        <v>0</v>
      </c>
      <c r="K72" s="191">
        <v>58921.21</v>
      </c>
      <c r="L72" s="185" t="s">
        <v>216</v>
      </c>
      <c r="N72" s="192" t="s">
        <v>119</v>
      </c>
      <c r="O72" t="s">
        <v>218</v>
      </c>
      <c r="S72" t="e">
        <f>#REF!</f>
        <v>#REF!</v>
      </c>
      <c r="U72" s="179">
        <f>ROUND(SUMIF(O:O,S72,J:J)/1000,0)</f>
        <v>0</v>
      </c>
      <c r="V72" s="179">
        <f>ROUND(SUMIF(O:O,S72,F:F)/1000,0)</f>
        <v>0</v>
      </c>
      <c r="W72" s="179">
        <f>ROUND(SUMIF(O:O,S72,E:E)/1000,0)</f>
        <v>0</v>
      </c>
    </row>
    <row r="73" spans="2:23" ht="16.5" hidden="1" customHeight="1">
      <c r="B73" t="str">
        <f t="shared" si="11"/>
        <v>112411</v>
      </c>
      <c r="C73" s="179">
        <v>112411103</v>
      </c>
      <c r="D73" t="s">
        <v>220</v>
      </c>
      <c r="E73" s="179"/>
      <c r="F73" s="179">
        <v>0</v>
      </c>
      <c r="G73" s="179">
        <v>477120.09</v>
      </c>
      <c r="H73" s="179"/>
      <c r="I73" s="179"/>
      <c r="J73" s="191">
        <v>0</v>
      </c>
      <c r="K73" s="191">
        <v>845557</v>
      </c>
      <c r="L73" s="185" t="s">
        <v>221</v>
      </c>
      <c r="N73" s="192" t="s">
        <v>119</v>
      </c>
      <c r="O73" t="s">
        <v>218</v>
      </c>
      <c r="P73" t="s">
        <v>222</v>
      </c>
      <c r="S73" t="e">
        <f>#REF!</f>
        <v>#REF!</v>
      </c>
      <c r="U73" s="179">
        <f>ROUND(SUMIF(O:O,S73,J:J)/1000,0)</f>
        <v>0</v>
      </c>
      <c r="V73" s="179">
        <f>ROUND(SUMIF(O:O,S73,F:F)/1000,0)</f>
        <v>0</v>
      </c>
      <c r="W73" s="179">
        <f>ROUND(SUMIF(O:O,S73,E:E)/1000,0)</f>
        <v>0</v>
      </c>
    </row>
    <row r="74" spans="2:23" ht="16.5" hidden="1" customHeight="1">
      <c r="B74" t="str">
        <f t="shared" si="11"/>
        <v>112412</v>
      </c>
      <c r="C74" s="179">
        <v>112412101</v>
      </c>
      <c r="D74" t="s">
        <v>223</v>
      </c>
      <c r="E74" s="179"/>
      <c r="F74" s="179">
        <v>859740.18</v>
      </c>
      <c r="G74" s="179">
        <v>362735.72</v>
      </c>
      <c r="H74" s="179"/>
      <c r="I74" s="179"/>
      <c r="J74" s="191">
        <v>0</v>
      </c>
      <c r="K74" s="191">
        <v>362735.8</v>
      </c>
      <c r="L74" s="185" t="s">
        <v>221</v>
      </c>
      <c r="N74" s="192" t="s">
        <v>119</v>
      </c>
      <c r="O74" t="s">
        <v>224</v>
      </c>
      <c r="P74" t="s">
        <v>222</v>
      </c>
      <c r="S74" t="e">
        <f>#REF!</f>
        <v>#REF!</v>
      </c>
      <c r="U74" s="194">
        <f>SUM(U69:U73)</f>
        <v>0</v>
      </c>
      <c r="V74" s="194">
        <f>SUM(V69:V73)</f>
        <v>0</v>
      </c>
      <c r="W74" s="194">
        <f>SUM(W69:W73)</f>
        <v>0</v>
      </c>
    </row>
    <row r="75" spans="2:23" ht="16.5" hidden="1" customHeight="1">
      <c r="B75" t="str">
        <f t="shared" si="11"/>
        <v>112412</v>
      </c>
      <c r="C75" s="179">
        <v>112412102</v>
      </c>
      <c r="D75" t="s">
        <v>225</v>
      </c>
      <c r="E75" s="179"/>
      <c r="F75" s="179">
        <v>606490.57999999996</v>
      </c>
      <c r="G75" s="179">
        <v>0</v>
      </c>
      <c r="H75" s="179"/>
      <c r="I75" s="179"/>
      <c r="J75" s="191">
        <v>0</v>
      </c>
      <c r="K75" s="191">
        <v>0</v>
      </c>
      <c r="L75" s="185" t="s">
        <v>221</v>
      </c>
      <c r="N75" s="192" t="s">
        <v>119</v>
      </c>
      <c r="O75" t="s">
        <v>224</v>
      </c>
      <c r="P75" t="s">
        <v>226</v>
      </c>
    </row>
    <row r="76" spans="2:23" ht="17.25" hidden="1" customHeight="1">
      <c r="B76" t="str">
        <f t="shared" si="11"/>
        <v>112412</v>
      </c>
      <c r="C76" s="179">
        <v>112412901</v>
      </c>
      <c r="D76" t="s">
        <v>227</v>
      </c>
      <c r="E76" s="179"/>
      <c r="F76" s="179">
        <v>0</v>
      </c>
      <c r="G76" s="179">
        <v>0</v>
      </c>
      <c r="H76" s="179"/>
      <c r="I76" s="179"/>
      <c r="J76" s="191">
        <v>891</v>
      </c>
      <c r="K76" s="191">
        <v>25743.22</v>
      </c>
      <c r="L76" s="185" t="s">
        <v>221</v>
      </c>
      <c r="N76" s="192" t="s">
        <v>119</v>
      </c>
      <c r="O76" t="s">
        <v>224</v>
      </c>
      <c r="P76" t="s">
        <v>226</v>
      </c>
      <c r="S76" s="195" t="s">
        <v>125</v>
      </c>
      <c r="T76" s="195"/>
      <c r="U76" s="196">
        <f>SUBTOTAL(9,U7:U48)+U74</f>
        <v>0</v>
      </c>
      <c r="V76" s="196">
        <f>SUBTOTAL(9,V7:V48)+V74</f>
        <v>0</v>
      </c>
      <c r="W76" s="196">
        <f>SUBTOTAL(9,W7:W48)+W74</f>
        <v>0</v>
      </c>
    </row>
    <row r="77" spans="2:23" ht="17.25" hidden="1" customHeight="1">
      <c r="B77" t="str">
        <f t="shared" si="11"/>
        <v>112412</v>
      </c>
      <c r="C77" s="179">
        <v>112412902</v>
      </c>
      <c r="D77" t="s">
        <v>228</v>
      </c>
      <c r="E77" s="179"/>
      <c r="F77" s="179"/>
      <c r="G77" s="179">
        <v>0</v>
      </c>
      <c r="H77" s="179"/>
      <c r="I77" s="179"/>
      <c r="J77" s="191">
        <v>28467.11</v>
      </c>
      <c r="K77" s="191">
        <v>118576.8</v>
      </c>
      <c r="L77" s="185" t="s">
        <v>221</v>
      </c>
      <c r="N77" s="192" t="s">
        <v>119</v>
      </c>
      <c r="O77" t="s">
        <v>224</v>
      </c>
      <c r="P77" t="s">
        <v>226</v>
      </c>
    </row>
    <row r="78" spans="2:23" ht="16.5" hidden="1" customHeight="1">
      <c r="B78" t="str">
        <f t="shared" si="11"/>
        <v>112412</v>
      </c>
      <c r="C78" s="179">
        <v>112412903</v>
      </c>
      <c r="D78" t="s">
        <v>229</v>
      </c>
      <c r="E78" s="179"/>
      <c r="F78" s="179"/>
      <c r="G78" s="179">
        <v>10.68</v>
      </c>
      <c r="H78" s="179"/>
      <c r="I78" s="179"/>
      <c r="J78" s="191">
        <v>131123.32</v>
      </c>
      <c r="K78" s="191">
        <v>10.68</v>
      </c>
      <c r="L78" s="185" t="s">
        <v>221</v>
      </c>
      <c r="N78" s="192" t="s">
        <v>119</v>
      </c>
      <c r="O78" t="s">
        <v>224</v>
      </c>
      <c r="P78" t="s">
        <v>226</v>
      </c>
    </row>
    <row r="79" spans="2:23" ht="16.5" hidden="1" customHeight="1">
      <c r="B79" t="str">
        <f t="shared" si="11"/>
        <v>112412</v>
      </c>
      <c r="C79" s="179">
        <v>112412904</v>
      </c>
      <c r="D79" t="s">
        <v>230</v>
      </c>
      <c r="E79" s="179"/>
      <c r="F79" s="179">
        <v>10.68</v>
      </c>
      <c r="G79" s="179">
        <v>0</v>
      </c>
      <c r="H79" s="179"/>
      <c r="I79" s="179"/>
      <c r="J79" s="191">
        <v>10.68</v>
      </c>
      <c r="K79" s="191">
        <v>0</v>
      </c>
      <c r="L79" s="185" t="s">
        <v>221</v>
      </c>
      <c r="N79" s="192" t="s">
        <v>119</v>
      </c>
      <c r="O79" t="s">
        <v>224</v>
      </c>
      <c r="P79" t="s">
        <v>226</v>
      </c>
    </row>
    <row r="80" spans="2:23" ht="16.5" hidden="1" customHeight="1">
      <c r="B80" t="str">
        <f t="shared" si="11"/>
        <v>112412</v>
      </c>
      <c r="C80" s="179">
        <v>112412905</v>
      </c>
      <c r="D80" t="s">
        <v>231</v>
      </c>
      <c r="E80" s="179"/>
      <c r="F80" s="179">
        <v>0</v>
      </c>
      <c r="G80" s="179">
        <v>15.12</v>
      </c>
      <c r="H80" s="179"/>
      <c r="I80" s="179"/>
      <c r="J80" s="191">
        <v>0</v>
      </c>
      <c r="K80" s="191">
        <v>205.25</v>
      </c>
      <c r="L80" s="185" t="s">
        <v>221</v>
      </c>
      <c r="N80" s="192" t="s">
        <v>119</v>
      </c>
      <c r="O80" t="s">
        <v>224</v>
      </c>
      <c r="P80" t="s">
        <v>226</v>
      </c>
    </row>
    <row r="81" spans="2:16" ht="16.5" hidden="1" customHeight="1">
      <c r="B81" t="str">
        <f t="shared" si="11"/>
        <v>112412</v>
      </c>
      <c r="C81" s="179">
        <v>112412906</v>
      </c>
      <c r="D81" t="s">
        <v>232</v>
      </c>
      <c r="E81" s="179"/>
      <c r="F81" s="179">
        <v>15.12</v>
      </c>
      <c r="G81" s="179">
        <v>0</v>
      </c>
      <c r="H81" s="179"/>
      <c r="I81" s="179"/>
      <c r="J81" s="191">
        <v>205.25</v>
      </c>
      <c r="K81" s="191">
        <v>0</v>
      </c>
      <c r="L81" s="185" t="s">
        <v>221</v>
      </c>
      <c r="N81" s="192" t="s">
        <v>119</v>
      </c>
      <c r="O81" t="s">
        <v>224</v>
      </c>
      <c r="P81" t="s">
        <v>226</v>
      </c>
    </row>
    <row r="82" spans="2:16" ht="16.5" hidden="1" customHeight="1">
      <c r="B82" t="str">
        <f t="shared" si="11"/>
        <v>112412</v>
      </c>
      <c r="C82" s="179">
        <v>112412907</v>
      </c>
      <c r="D82" t="s">
        <v>233</v>
      </c>
      <c r="E82" s="179"/>
      <c r="F82" s="179">
        <v>0</v>
      </c>
      <c r="G82" s="179">
        <v>0</v>
      </c>
      <c r="H82" s="179"/>
      <c r="I82" s="179"/>
      <c r="J82" s="191">
        <v>0</v>
      </c>
      <c r="K82" s="191">
        <v>0</v>
      </c>
      <c r="L82" s="185" t="s">
        <v>221</v>
      </c>
      <c r="N82" s="192" t="s">
        <v>119</v>
      </c>
      <c r="O82" t="s">
        <v>224</v>
      </c>
      <c r="P82" t="s">
        <v>226</v>
      </c>
    </row>
    <row r="83" spans="2:16" ht="16.5" hidden="1" customHeight="1">
      <c r="B83" t="str">
        <f t="shared" si="11"/>
        <v>112412</v>
      </c>
      <c r="C83" s="179">
        <v>112412908</v>
      </c>
      <c r="D83" t="s">
        <v>234</v>
      </c>
      <c r="E83" s="179"/>
      <c r="F83" s="179">
        <v>0</v>
      </c>
      <c r="G83" s="179">
        <v>0</v>
      </c>
      <c r="H83" s="179"/>
      <c r="I83" s="179"/>
      <c r="J83" s="191">
        <v>0</v>
      </c>
      <c r="K83" s="191">
        <v>0</v>
      </c>
      <c r="L83" s="185" t="s">
        <v>221</v>
      </c>
      <c r="N83" s="192" t="s">
        <v>119</v>
      </c>
      <c r="O83" t="s">
        <v>224</v>
      </c>
      <c r="P83" t="s">
        <v>226</v>
      </c>
    </row>
    <row r="84" spans="2:16" ht="16.5" hidden="1" customHeight="1">
      <c r="B84" t="str">
        <f t="shared" si="11"/>
        <v>112412</v>
      </c>
      <c r="C84" s="179">
        <v>112412909</v>
      </c>
      <c r="D84" t="s">
        <v>235</v>
      </c>
      <c r="E84" s="179"/>
      <c r="F84" s="179">
        <v>0</v>
      </c>
      <c r="G84" s="179">
        <v>0</v>
      </c>
      <c r="H84" s="179"/>
      <c r="I84" s="179"/>
      <c r="J84" s="191">
        <v>0</v>
      </c>
      <c r="K84" s="191">
        <v>0</v>
      </c>
      <c r="L84" s="185" t="s">
        <v>221</v>
      </c>
      <c r="N84" s="192" t="s">
        <v>119</v>
      </c>
      <c r="O84" t="s">
        <v>224</v>
      </c>
      <c r="P84" t="s">
        <v>226</v>
      </c>
    </row>
    <row r="85" spans="2:16" ht="16.5" hidden="1" customHeight="1">
      <c r="B85" t="str">
        <f t="shared" si="11"/>
        <v>112412</v>
      </c>
      <c r="C85" s="179">
        <v>112412910</v>
      </c>
      <c r="D85" t="s">
        <v>236</v>
      </c>
      <c r="E85" s="179"/>
      <c r="F85" s="179">
        <v>0</v>
      </c>
      <c r="G85" s="179">
        <v>123885.82</v>
      </c>
      <c r="H85" s="179"/>
      <c r="I85" s="179"/>
      <c r="J85" s="191">
        <v>0</v>
      </c>
      <c r="K85" s="191">
        <v>245847.56</v>
      </c>
      <c r="L85" s="185" t="s">
        <v>221</v>
      </c>
      <c r="N85" s="192" t="s">
        <v>119</v>
      </c>
      <c r="O85" t="s">
        <v>224</v>
      </c>
      <c r="P85" t="s">
        <v>237</v>
      </c>
    </row>
    <row r="86" spans="2:16" ht="16.5" hidden="1" customHeight="1">
      <c r="B86" t="str">
        <f t="shared" ref="B86:B117" si="12">LEFT(C86,6)</f>
        <v>112412</v>
      </c>
      <c r="C86" s="179">
        <v>112412911</v>
      </c>
      <c r="D86" t="s">
        <v>238</v>
      </c>
      <c r="E86" s="179"/>
      <c r="F86" s="179">
        <v>0</v>
      </c>
      <c r="G86" s="179">
        <v>104751.53</v>
      </c>
      <c r="H86" s="179"/>
      <c r="I86" s="179"/>
      <c r="J86" s="191">
        <v>0</v>
      </c>
      <c r="K86" s="191">
        <v>0</v>
      </c>
      <c r="L86" s="185" t="s">
        <v>221</v>
      </c>
      <c r="N86" s="192" t="s">
        <v>119</v>
      </c>
      <c r="O86" t="s">
        <v>224</v>
      </c>
      <c r="P86" t="s">
        <v>239</v>
      </c>
    </row>
    <row r="87" spans="2:16" ht="16.5" hidden="1" customHeight="1">
      <c r="B87" t="str">
        <f t="shared" si="12"/>
        <v>112412</v>
      </c>
      <c r="C87" s="179">
        <v>112412912</v>
      </c>
      <c r="D87" t="s">
        <v>240</v>
      </c>
      <c r="E87" s="179"/>
      <c r="F87" s="179">
        <v>0</v>
      </c>
      <c r="G87" s="179">
        <v>4123621.1</v>
      </c>
      <c r="H87" s="179"/>
      <c r="I87" s="179"/>
      <c r="J87" s="191">
        <v>0</v>
      </c>
      <c r="K87" s="191">
        <v>4123621.1</v>
      </c>
      <c r="L87" s="185" t="s">
        <v>221</v>
      </c>
      <c r="N87" s="192" t="s">
        <v>119</v>
      </c>
      <c r="O87" t="s">
        <v>224</v>
      </c>
      <c r="P87" t="s">
        <v>237</v>
      </c>
    </row>
    <row r="88" spans="2:16" ht="16.5" hidden="1" customHeight="1">
      <c r="B88" t="str">
        <f t="shared" si="12"/>
        <v>112412</v>
      </c>
      <c r="C88" s="179">
        <v>112412913</v>
      </c>
      <c r="D88" t="s">
        <v>241</v>
      </c>
      <c r="E88" s="179"/>
      <c r="F88" s="179">
        <v>3110598.98</v>
      </c>
      <c r="G88" s="179">
        <v>3146351.61</v>
      </c>
      <c r="H88" s="179"/>
      <c r="I88" s="179"/>
      <c r="J88" s="191">
        <v>0</v>
      </c>
      <c r="K88" s="191">
        <v>3379439.85</v>
      </c>
      <c r="L88" s="185" t="s">
        <v>221</v>
      </c>
      <c r="N88" s="192" t="s">
        <v>119</v>
      </c>
      <c r="O88" t="s">
        <v>224</v>
      </c>
      <c r="P88" t="s">
        <v>239</v>
      </c>
    </row>
    <row r="89" spans="2:16" ht="16.5" hidden="1" customHeight="1">
      <c r="B89" t="str">
        <f t="shared" si="12"/>
        <v>112412</v>
      </c>
      <c r="C89" s="179">
        <v>112412914</v>
      </c>
      <c r="D89" t="s">
        <v>242</v>
      </c>
      <c r="E89" s="179"/>
      <c r="F89" s="179">
        <v>2540188.8199999998</v>
      </c>
      <c r="G89" s="179">
        <v>0</v>
      </c>
      <c r="H89" s="179"/>
      <c r="I89" s="179"/>
      <c r="J89" s="191">
        <v>0</v>
      </c>
      <c r="K89" s="191">
        <v>0</v>
      </c>
      <c r="L89" s="185" t="s">
        <v>221</v>
      </c>
      <c r="N89" s="192" t="s">
        <v>119</v>
      </c>
      <c r="O89" t="s">
        <v>224</v>
      </c>
      <c r="P89" t="s">
        <v>226</v>
      </c>
    </row>
    <row r="90" spans="2:16" ht="16.5" hidden="1" customHeight="1">
      <c r="B90" t="str">
        <f t="shared" si="12"/>
        <v>112412</v>
      </c>
      <c r="C90" s="179">
        <v>112412915</v>
      </c>
      <c r="D90" t="s">
        <v>243</v>
      </c>
      <c r="E90" s="179"/>
      <c r="F90" s="179"/>
      <c r="G90" s="179">
        <v>4790.07</v>
      </c>
      <c r="H90" s="179"/>
      <c r="I90" s="179"/>
      <c r="J90" s="191">
        <v>880739.46</v>
      </c>
      <c r="K90" s="191">
        <v>4790.07</v>
      </c>
      <c r="L90" s="185" t="s">
        <v>221</v>
      </c>
      <c r="N90" s="192" t="s">
        <v>119</v>
      </c>
      <c r="O90" t="s">
        <v>224</v>
      </c>
      <c r="P90" t="s">
        <v>226</v>
      </c>
    </row>
    <row r="91" spans="2:16" ht="16.5" hidden="1" customHeight="1">
      <c r="B91" t="str">
        <f t="shared" si="12"/>
        <v>112412</v>
      </c>
      <c r="C91" s="179">
        <v>112412916</v>
      </c>
      <c r="D91" t="s">
        <v>244</v>
      </c>
      <c r="E91" s="179"/>
      <c r="F91" s="179"/>
      <c r="G91" s="179">
        <v>3532159.27</v>
      </c>
      <c r="H91" s="179"/>
      <c r="I91" s="179"/>
      <c r="J91" s="191">
        <v>6140.07</v>
      </c>
      <c r="K91" s="191">
        <v>0</v>
      </c>
      <c r="L91" s="185" t="s">
        <v>245</v>
      </c>
      <c r="N91" s="192" t="s">
        <v>119</v>
      </c>
      <c r="O91" t="s">
        <v>224</v>
      </c>
    </row>
    <row r="92" spans="2:16" ht="16.5" hidden="1" customHeight="1">
      <c r="B92" t="s">
        <v>246</v>
      </c>
      <c r="C92" s="179">
        <v>1124131001</v>
      </c>
      <c r="D92" t="s">
        <v>247</v>
      </c>
      <c r="E92" s="179"/>
      <c r="F92" s="179"/>
      <c r="J92" s="191">
        <v>0</v>
      </c>
      <c r="K92" s="191">
        <v>1789995.8</v>
      </c>
      <c r="L92" s="185" t="s">
        <v>245</v>
      </c>
      <c r="N92" s="192" t="s">
        <v>119</v>
      </c>
      <c r="O92" t="s">
        <v>248</v>
      </c>
    </row>
    <row r="93" spans="2:16" ht="16.5" hidden="1" customHeight="1">
      <c r="B93" t="str">
        <f t="shared" ref="B93:B112" si="13">LEFT(C93,6)</f>
        <v>112413</v>
      </c>
      <c r="C93" s="179">
        <v>1124132001</v>
      </c>
      <c r="D93" t="s">
        <v>249</v>
      </c>
      <c r="E93" s="179"/>
      <c r="F93" s="179"/>
      <c r="G93" s="179">
        <v>0</v>
      </c>
      <c r="H93" s="179"/>
      <c r="I93" s="179"/>
      <c r="J93" s="191">
        <v>2009959.73</v>
      </c>
      <c r="K93" s="191">
        <v>0</v>
      </c>
      <c r="L93" s="185" t="s">
        <v>216</v>
      </c>
      <c r="N93" s="192" t="s">
        <v>119</v>
      </c>
      <c r="O93" t="s">
        <v>248</v>
      </c>
    </row>
    <row r="94" spans="2:16" ht="16.5" hidden="1" customHeight="1">
      <c r="B94" t="str">
        <f t="shared" si="13"/>
        <v>112414</v>
      </c>
      <c r="C94" s="179">
        <v>112414101</v>
      </c>
      <c r="D94" t="s">
        <v>250</v>
      </c>
      <c r="E94" s="179"/>
      <c r="F94" s="179">
        <v>0</v>
      </c>
      <c r="G94" s="179">
        <v>197329.63</v>
      </c>
      <c r="H94" s="179"/>
      <c r="I94" s="179"/>
      <c r="J94" s="191">
        <v>0</v>
      </c>
      <c r="K94" s="191">
        <v>2.27</v>
      </c>
      <c r="L94" s="185" t="s">
        <v>216</v>
      </c>
      <c r="N94" s="192" t="s">
        <v>119</v>
      </c>
      <c r="O94" t="s">
        <v>218</v>
      </c>
    </row>
    <row r="95" spans="2:16" ht="16.5" hidden="1" customHeight="1">
      <c r="B95" t="str">
        <f t="shared" si="13"/>
        <v>112419</v>
      </c>
      <c r="C95" s="179">
        <v>112419101</v>
      </c>
      <c r="D95" t="s">
        <v>251</v>
      </c>
      <c r="E95" s="179"/>
      <c r="F95" s="179">
        <v>196214.39</v>
      </c>
      <c r="G95" s="179">
        <v>24189167.670000002</v>
      </c>
      <c r="H95" s="179"/>
      <c r="I95" s="179"/>
      <c r="J95" s="191">
        <v>0</v>
      </c>
      <c r="K95" s="191">
        <v>21519443.329999998</v>
      </c>
      <c r="L95" s="185" t="s">
        <v>252</v>
      </c>
      <c r="N95" s="192" t="s">
        <v>119</v>
      </c>
      <c r="O95" t="s">
        <v>218</v>
      </c>
      <c r="P95" t="s">
        <v>253</v>
      </c>
    </row>
    <row r="96" spans="2:16" ht="16.5" hidden="1" customHeight="1">
      <c r="B96" t="str">
        <f t="shared" si="13"/>
        <v>112711</v>
      </c>
      <c r="C96" s="179">
        <v>1127111001</v>
      </c>
      <c r="D96" t="s">
        <v>254</v>
      </c>
      <c r="E96" s="179"/>
      <c r="F96" s="179"/>
      <c r="G96" s="179">
        <v>246022</v>
      </c>
      <c r="H96" s="179"/>
      <c r="I96" s="179"/>
      <c r="J96" s="191">
        <v>25400465.870000001</v>
      </c>
      <c r="K96" s="191">
        <v>1048539.41</v>
      </c>
      <c r="L96" s="185" t="s">
        <v>252</v>
      </c>
      <c r="N96" s="192" t="s">
        <v>119</v>
      </c>
      <c r="O96" t="s">
        <v>146</v>
      </c>
      <c r="P96" t="s">
        <v>226</v>
      </c>
    </row>
    <row r="97" spans="2:16" ht="16.5" hidden="1" customHeight="1">
      <c r="B97" t="str">
        <f t="shared" si="13"/>
        <v>112711</v>
      </c>
      <c r="C97" s="179">
        <v>1127111002</v>
      </c>
      <c r="D97" t="s">
        <v>255</v>
      </c>
      <c r="E97" s="179"/>
      <c r="F97" s="179"/>
      <c r="G97" s="179">
        <v>349055.23</v>
      </c>
      <c r="H97" s="179"/>
      <c r="I97" s="179"/>
      <c r="J97" s="191">
        <v>1370042.18</v>
      </c>
      <c r="K97" s="191">
        <v>434357.76000000001</v>
      </c>
      <c r="L97" s="185" t="s">
        <v>252</v>
      </c>
      <c r="N97" s="192" t="s">
        <v>119</v>
      </c>
      <c r="O97" t="s">
        <v>146</v>
      </c>
      <c r="P97" t="s">
        <v>226</v>
      </c>
    </row>
    <row r="98" spans="2:16" ht="16.5" hidden="1" customHeight="1">
      <c r="B98" t="str">
        <f t="shared" si="13"/>
        <v>112711</v>
      </c>
      <c r="C98" s="179">
        <v>1127111003</v>
      </c>
      <c r="D98" t="s">
        <v>256</v>
      </c>
      <c r="E98" s="179"/>
      <c r="F98" s="179"/>
      <c r="G98" s="179">
        <v>10707620.220000001</v>
      </c>
      <c r="H98" s="179"/>
      <c r="I98" s="179"/>
      <c r="J98" s="191">
        <v>530642.4</v>
      </c>
      <c r="K98" s="191">
        <v>8619448.3900000006</v>
      </c>
      <c r="L98" s="185" t="s">
        <v>252</v>
      </c>
      <c r="N98" s="192" t="s">
        <v>119</v>
      </c>
      <c r="O98" t="s">
        <v>146</v>
      </c>
      <c r="P98" t="s">
        <v>257</v>
      </c>
    </row>
    <row r="99" spans="2:16" ht="16.5" hidden="1" customHeight="1">
      <c r="B99" t="str">
        <f t="shared" si="13"/>
        <v>112711</v>
      </c>
      <c r="C99" s="179">
        <v>1127112001</v>
      </c>
      <c r="D99" t="s">
        <v>254</v>
      </c>
      <c r="E99" s="179"/>
      <c r="F99" s="179"/>
      <c r="G99" s="179">
        <v>33503513.800000001</v>
      </c>
      <c r="H99" s="179"/>
      <c r="I99" s="179"/>
      <c r="J99" s="191">
        <v>1148806.8899999999</v>
      </c>
      <c r="K99" s="191">
        <v>34705627.229999997</v>
      </c>
      <c r="L99" s="185" t="s">
        <v>258</v>
      </c>
      <c r="N99" s="192" t="s">
        <v>119</v>
      </c>
      <c r="O99" t="s">
        <v>146</v>
      </c>
      <c r="P99" t="s">
        <v>259</v>
      </c>
    </row>
    <row r="100" spans="2:16" ht="16.5" hidden="1" customHeight="1">
      <c r="B100" t="str">
        <f t="shared" si="13"/>
        <v>112714</v>
      </c>
      <c r="C100" s="179">
        <v>1127141001</v>
      </c>
      <c r="D100" t="s">
        <v>260</v>
      </c>
      <c r="E100" s="179"/>
      <c r="F100" s="179"/>
      <c r="G100" s="179">
        <v>3071756.19</v>
      </c>
      <c r="H100" s="179"/>
      <c r="I100" s="179"/>
      <c r="J100" s="191">
        <v>6210540.4900000002</v>
      </c>
      <c r="K100" s="191">
        <v>3180689.5</v>
      </c>
      <c r="L100" s="185" t="s">
        <v>258</v>
      </c>
      <c r="N100" s="192" t="s">
        <v>119</v>
      </c>
      <c r="O100" t="s">
        <v>146</v>
      </c>
      <c r="P100" t="s">
        <v>261</v>
      </c>
    </row>
    <row r="101" spans="2:16" ht="16.5" hidden="1" customHeight="1">
      <c r="B101" t="str">
        <f t="shared" si="13"/>
        <v>112831</v>
      </c>
      <c r="C101" s="179">
        <v>112831103</v>
      </c>
      <c r="D101" t="s">
        <v>262</v>
      </c>
      <c r="E101" s="179"/>
      <c r="F101" s="179">
        <v>66692036.240000002</v>
      </c>
      <c r="G101" s="179">
        <v>4649.72</v>
      </c>
      <c r="H101" s="179"/>
      <c r="I101" s="179"/>
      <c r="J101" s="191">
        <v>34198650.43</v>
      </c>
      <c r="K101" s="191">
        <v>27048.880000000001</v>
      </c>
      <c r="L101" s="185" t="s">
        <v>263</v>
      </c>
      <c r="N101" s="192" t="s">
        <v>119</v>
      </c>
      <c r="O101" t="s">
        <v>264</v>
      </c>
    </row>
    <row r="102" spans="2:16" ht="16.5" hidden="1" customHeight="1">
      <c r="B102" t="str">
        <f t="shared" si="13"/>
        <v>112831</v>
      </c>
      <c r="C102" s="179">
        <v>112831104</v>
      </c>
      <c r="D102" t="s">
        <v>265</v>
      </c>
      <c r="E102" s="179"/>
      <c r="F102" s="179"/>
      <c r="G102" s="179">
        <v>2152.21</v>
      </c>
      <c r="H102" s="179"/>
      <c r="I102" s="179"/>
      <c r="J102" s="191">
        <v>3204674.5</v>
      </c>
      <c r="K102" s="191">
        <v>457.56</v>
      </c>
      <c r="L102" s="185" t="s">
        <v>263</v>
      </c>
      <c r="N102" s="192" t="s">
        <v>119</v>
      </c>
      <c r="O102" t="s">
        <v>264</v>
      </c>
    </row>
    <row r="103" spans="2:16" ht="16.5" hidden="1" customHeight="1">
      <c r="B103" t="str">
        <f t="shared" si="13"/>
        <v>112951</v>
      </c>
      <c r="C103" s="179">
        <v>1129511001</v>
      </c>
      <c r="D103" t="s">
        <v>266</v>
      </c>
      <c r="E103" s="179"/>
      <c r="F103" s="179"/>
      <c r="G103" s="179">
        <v>2455.83</v>
      </c>
      <c r="H103" s="179"/>
      <c r="I103" s="179"/>
      <c r="J103" s="191">
        <v>28548.74</v>
      </c>
      <c r="K103" s="191">
        <v>0</v>
      </c>
      <c r="L103" s="185" t="s">
        <v>263</v>
      </c>
      <c r="N103" s="192" t="s">
        <v>119</v>
      </c>
      <c r="O103" t="s">
        <v>218</v>
      </c>
    </row>
    <row r="104" spans="2:16" ht="16.5" hidden="1" customHeight="1">
      <c r="B104" t="str">
        <f t="shared" si="13"/>
        <v>113012</v>
      </c>
      <c r="C104" s="179">
        <v>1130121001</v>
      </c>
      <c r="D104" t="s">
        <v>267</v>
      </c>
      <c r="E104" s="179"/>
      <c r="F104" s="179"/>
      <c r="G104" s="179">
        <v>0</v>
      </c>
      <c r="H104" s="179"/>
      <c r="I104" s="179"/>
      <c r="J104" s="191">
        <v>0</v>
      </c>
      <c r="K104" s="191">
        <v>0</v>
      </c>
      <c r="L104" s="185" t="s">
        <v>263</v>
      </c>
      <c r="N104" s="192" t="s">
        <v>119</v>
      </c>
      <c r="O104" t="s">
        <v>268</v>
      </c>
    </row>
    <row r="105" spans="2:16" ht="16.5" hidden="1" customHeight="1">
      <c r="B105" t="str">
        <f t="shared" si="13"/>
        <v>113012</v>
      </c>
      <c r="C105" s="179">
        <v>1130122001</v>
      </c>
      <c r="D105" t="s">
        <v>269</v>
      </c>
      <c r="E105" s="179"/>
      <c r="F105" s="179"/>
      <c r="G105" s="179">
        <v>593879.56999999995</v>
      </c>
      <c r="H105" s="179"/>
      <c r="I105" s="179"/>
      <c r="J105" s="191">
        <v>0</v>
      </c>
      <c r="K105" s="191">
        <v>268166.8</v>
      </c>
      <c r="L105" s="185" t="s">
        <v>263</v>
      </c>
      <c r="N105" s="192" t="s">
        <v>119</v>
      </c>
      <c r="O105" t="s">
        <v>268</v>
      </c>
    </row>
    <row r="106" spans="2:16" ht="16.5" hidden="1" customHeight="1">
      <c r="B106" t="str">
        <f t="shared" si="13"/>
        <v>113013</v>
      </c>
      <c r="C106" s="179">
        <v>113013001</v>
      </c>
      <c r="D106" t="s">
        <v>270</v>
      </c>
      <c r="E106" s="179"/>
      <c r="F106" s="179">
        <v>73324.710000000006</v>
      </c>
      <c r="G106" s="179">
        <v>0</v>
      </c>
      <c r="H106" s="179"/>
      <c r="I106" s="179"/>
      <c r="J106" s="191">
        <v>0</v>
      </c>
      <c r="K106" s="191">
        <v>0</v>
      </c>
      <c r="L106" s="185" t="s">
        <v>263</v>
      </c>
      <c r="N106" s="192" t="s">
        <v>119</v>
      </c>
      <c r="O106" t="s">
        <v>268</v>
      </c>
    </row>
    <row r="107" spans="2:16" ht="16.5" hidden="1" customHeight="1">
      <c r="B107" t="str">
        <f t="shared" si="13"/>
        <v>113013</v>
      </c>
      <c r="C107" s="179">
        <v>113013101</v>
      </c>
      <c r="D107" t="s">
        <v>270</v>
      </c>
      <c r="E107" s="179"/>
      <c r="F107" s="179"/>
      <c r="G107" s="179">
        <v>18517.759999999998</v>
      </c>
      <c r="H107" s="179"/>
      <c r="I107" s="179"/>
      <c r="J107" s="191">
        <v>290438.58</v>
      </c>
      <c r="K107" s="191">
        <v>3086.26</v>
      </c>
      <c r="L107" s="185" t="s">
        <v>263</v>
      </c>
      <c r="N107" s="192" t="s">
        <v>119</v>
      </c>
      <c r="O107" t="s">
        <v>268</v>
      </c>
    </row>
    <row r="108" spans="2:16" ht="16.5" hidden="1" customHeight="1">
      <c r="B108" t="str">
        <f t="shared" si="13"/>
        <v>113019</v>
      </c>
      <c r="C108" s="179">
        <v>113019001</v>
      </c>
      <c r="D108" t="s">
        <v>271</v>
      </c>
      <c r="E108" s="179"/>
      <c r="F108" s="179">
        <v>0</v>
      </c>
      <c r="G108" s="179">
        <v>513636.8</v>
      </c>
      <c r="H108" s="179"/>
      <c r="I108" s="179"/>
      <c r="J108" s="191">
        <v>0</v>
      </c>
      <c r="K108" s="191">
        <v>463280.25</v>
      </c>
      <c r="L108" s="185" t="s">
        <v>272</v>
      </c>
      <c r="N108" s="192" t="s">
        <v>119</v>
      </c>
      <c r="O108" t="s">
        <v>268</v>
      </c>
      <c r="P108" t="s">
        <v>173</v>
      </c>
    </row>
    <row r="109" spans="2:16" ht="16.5" hidden="1" customHeight="1">
      <c r="B109" t="str">
        <f t="shared" si="13"/>
        <v>113019</v>
      </c>
      <c r="C109" s="179">
        <v>113019101</v>
      </c>
      <c r="D109" t="s">
        <v>271</v>
      </c>
      <c r="E109" s="179"/>
      <c r="F109" s="179"/>
      <c r="G109" s="179">
        <v>22217335.760000002</v>
      </c>
      <c r="H109" s="179"/>
      <c r="I109" s="179"/>
      <c r="J109" s="191">
        <v>0</v>
      </c>
      <c r="K109" s="191">
        <v>22853481.649999999</v>
      </c>
      <c r="L109" s="185" t="s">
        <v>273</v>
      </c>
      <c r="N109" s="192" t="s">
        <v>119</v>
      </c>
      <c r="O109" t="s">
        <v>268</v>
      </c>
      <c r="P109" t="s">
        <v>274</v>
      </c>
    </row>
    <row r="110" spans="2:16" ht="16.5" hidden="1" customHeight="1">
      <c r="B110" t="str">
        <f t="shared" si="13"/>
        <v>121111</v>
      </c>
      <c r="C110" s="179">
        <v>121111101001</v>
      </c>
      <c r="D110" t="s">
        <v>275</v>
      </c>
      <c r="E110" s="179"/>
      <c r="F110" s="179">
        <v>574064.66</v>
      </c>
      <c r="G110" s="179">
        <v>0</v>
      </c>
      <c r="H110" s="179"/>
      <c r="I110" s="179"/>
      <c r="J110" s="191">
        <v>453208.94</v>
      </c>
      <c r="K110" s="191">
        <v>0</v>
      </c>
      <c r="L110" s="185" t="s">
        <v>273</v>
      </c>
      <c r="N110" s="192" t="s">
        <v>119</v>
      </c>
      <c r="O110" t="s">
        <v>276</v>
      </c>
      <c r="P110" t="s">
        <v>277</v>
      </c>
    </row>
    <row r="111" spans="2:16" ht="16.5" hidden="1" customHeight="1">
      <c r="B111" t="str">
        <f t="shared" si="13"/>
        <v>121831</v>
      </c>
      <c r="C111" s="179">
        <v>121831103</v>
      </c>
      <c r="D111" t="s">
        <v>278</v>
      </c>
      <c r="E111" s="179"/>
      <c r="F111" s="179">
        <v>21643838.329999998</v>
      </c>
      <c r="G111" s="179">
        <v>16534249.91</v>
      </c>
      <c r="H111" s="179"/>
      <c r="I111" s="179"/>
      <c r="J111" s="191">
        <v>23028244.640000001</v>
      </c>
      <c r="K111" s="191">
        <v>17007672.780000001</v>
      </c>
      <c r="L111" s="185" t="s">
        <v>273</v>
      </c>
      <c r="N111" s="192" t="s">
        <v>119</v>
      </c>
      <c r="O111" t="s">
        <v>279</v>
      </c>
      <c r="P111" t="s">
        <v>280</v>
      </c>
    </row>
    <row r="112" spans="2:16" ht="16.5" hidden="1" customHeight="1">
      <c r="B112" t="str">
        <f t="shared" si="13"/>
        <v>121831</v>
      </c>
      <c r="C112" s="179">
        <v>121831104</v>
      </c>
      <c r="D112" t="s">
        <v>281</v>
      </c>
      <c r="E112" s="179"/>
      <c r="F112" s="179">
        <v>29407280.510000002</v>
      </c>
      <c r="G112" s="179">
        <v>0</v>
      </c>
      <c r="H112" s="179"/>
      <c r="I112" s="179"/>
      <c r="J112" s="191">
        <v>0</v>
      </c>
      <c r="K112" s="191">
        <v>0</v>
      </c>
      <c r="L112" s="185" t="s">
        <v>273</v>
      </c>
      <c r="N112" s="192" t="s">
        <v>119</v>
      </c>
      <c r="O112" t="s">
        <v>279</v>
      </c>
    </row>
    <row r="113" spans="2:16" ht="16.5" hidden="1" customHeight="1">
      <c r="B113" t="s">
        <v>282</v>
      </c>
      <c r="C113" s="179">
        <v>121831105</v>
      </c>
      <c r="D113" t="s">
        <v>283</v>
      </c>
      <c r="E113" s="179"/>
      <c r="F113" s="179">
        <v>13970214.939999999</v>
      </c>
      <c r="J113" s="191">
        <v>17137732.25</v>
      </c>
      <c r="K113" s="191">
        <v>2274016.12</v>
      </c>
      <c r="L113" s="185" t="s">
        <v>273</v>
      </c>
      <c r="N113" s="192" t="s">
        <v>119</v>
      </c>
      <c r="O113" t="s">
        <v>279</v>
      </c>
    </row>
    <row r="114" spans="2:16" ht="16.5" hidden="1" customHeight="1">
      <c r="B114" t="s">
        <v>282</v>
      </c>
      <c r="C114" s="179">
        <v>121831106</v>
      </c>
      <c r="D114" t="s">
        <v>284</v>
      </c>
      <c r="E114" s="179"/>
      <c r="F114" s="179">
        <v>0</v>
      </c>
      <c r="J114" s="191">
        <v>0</v>
      </c>
      <c r="K114" s="191">
        <v>84516.17</v>
      </c>
      <c r="L114" s="185" t="s">
        <v>273</v>
      </c>
      <c r="N114" s="192" t="s">
        <v>119</v>
      </c>
      <c r="O114" t="s">
        <v>279</v>
      </c>
    </row>
    <row r="115" spans="2:16" ht="16.5" hidden="1" customHeight="1">
      <c r="B115" t="str">
        <f t="shared" ref="B115:B136" si="14">LEFT(C115,6)</f>
        <v>121831</v>
      </c>
      <c r="C115" s="179">
        <v>121831101</v>
      </c>
      <c r="D115" t="s">
        <v>168</v>
      </c>
      <c r="E115" s="179"/>
      <c r="F115" s="179"/>
      <c r="G115" s="179">
        <v>8576279.4900000002</v>
      </c>
      <c r="H115" s="179"/>
      <c r="I115" s="179"/>
      <c r="J115" s="191">
        <v>2291584.1</v>
      </c>
      <c r="K115" s="191">
        <v>7324590.71</v>
      </c>
      <c r="L115" s="185" t="s">
        <v>285</v>
      </c>
      <c r="N115" s="192" t="s">
        <v>119</v>
      </c>
      <c r="O115" t="s">
        <v>279</v>
      </c>
      <c r="P115" t="s">
        <v>286</v>
      </c>
    </row>
    <row r="116" spans="2:16" ht="16.5" hidden="1" customHeight="1">
      <c r="B116" t="str">
        <f t="shared" si="14"/>
        <v>121831</v>
      </c>
      <c r="C116" s="179">
        <v>121831102</v>
      </c>
      <c r="D116" t="s">
        <v>287</v>
      </c>
      <c r="E116" s="179"/>
      <c r="F116" s="179"/>
      <c r="G116" s="179">
        <v>3087460.61</v>
      </c>
      <c r="H116" s="179"/>
      <c r="I116" s="179"/>
      <c r="J116" s="191">
        <v>84062.7</v>
      </c>
      <c r="K116" s="191">
        <v>2636852.64</v>
      </c>
      <c r="L116" s="185" t="s">
        <v>285</v>
      </c>
      <c r="N116" s="192" t="s">
        <v>119</v>
      </c>
      <c r="O116" t="s">
        <v>279</v>
      </c>
      <c r="P116" t="s">
        <v>288</v>
      </c>
    </row>
    <row r="117" spans="2:16" ht="16.5" hidden="1" customHeight="1">
      <c r="B117" t="str">
        <f t="shared" si="14"/>
        <v>121998</v>
      </c>
      <c r="C117" s="179">
        <v>121998201</v>
      </c>
      <c r="D117" t="s">
        <v>289</v>
      </c>
      <c r="E117" s="179"/>
      <c r="F117" s="179">
        <v>7410359.4500000002</v>
      </c>
      <c r="G117" s="179">
        <v>0</v>
      </c>
      <c r="H117" s="179"/>
      <c r="I117" s="179"/>
      <c r="J117" s="191">
        <v>7304130.5199999996</v>
      </c>
      <c r="K117" s="191">
        <v>0</v>
      </c>
      <c r="L117" s="185" t="s">
        <v>290</v>
      </c>
      <c r="N117" s="192" t="s">
        <v>119</v>
      </c>
      <c r="O117" t="s">
        <v>291</v>
      </c>
    </row>
    <row r="118" spans="2:16" ht="16.5" hidden="1" customHeight="1">
      <c r="B118" t="str">
        <f t="shared" si="14"/>
        <v>121998</v>
      </c>
      <c r="C118" s="179">
        <v>121998202</v>
      </c>
      <c r="D118" t="s">
        <v>292</v>
      </c>
      <c r="E118" s="179"/>
      <c r="F118" s="179">
        <v>2667729.4</v>
      </c>
      <c r="G118" s="179">
        <v>120045932.83</v>
      </c>
      <c r="H118" s="179"/>
      <c r="I118" s="179"/>
      <c r="J118" s="191">
        <v>2629486.9700000002</v>
      </c>
      <c r="K118" s="191">
        <v>117416861.23999999</v>
      </c>
      <c r="L118" s="185" t="s">
        <v>290</v>
      </c>
      <c r="N118" s="192" t="s">
        <v>119</v>
      </c>
      <c r="O118" t="s">
        <v>291</v>
      </c>
    </row>
    <row r="119" spans="2:16" ht="16.5" hidden="1" customHeight="1">
      <c r="B119" t="str">
        <f t="shared" si="14"/>
        <v>131019</v>
      </c>
      <c r="C119" s="179">
        <v>131019704</v>
      </c>
      <c r="D119" t="s">
        <v>293</v>
      </c>
      <c r="E119" s="179"/>
      <c r="F119" s="179">
        <v>0</v>
      </c>
      <c r="G119" s="179">
        <v>463509618.43000001</v>
      </c>
      <c r="H119" s="179"/>
      <c r="I119" s="179"/>
      <c r="J119" s="191">
        <v>0</v>
      </c>
      <c r="K119" s="191">
        <v>448064432.05000001</v>
      </c>
      <c r="L119" s="185" t="s">
        <v>290</v>
      </c>
      <c r="N119" s="192" t="s">
        <v>119</v>
      </c>
      <c r="O119" t="s">
        <v>294</v>
      </c>
    </row>
    <row r="120" spans="2:16" ht="16.5" hidden="1" customHeight="1">
      <c r="B120" t="str">
        <f t="shared" si="14"/>
        <v>132011</v>
      </c>
      <c r="C120" s="179">
        <v>132011104</v>
      </c>
      <c r="D120" t="s">
        <v>293</v>
      </c>
      <c r="E120" s="179"/>
      <c r="F120" s="179">
        <v>120022444.43000001</v>
      </c>
      <c r="G120" s="179">
        <v>203225.94</v>
      </c>
      <c r="H120" s="179"/>
      <c r="I120" s="179"/>
      <c r="J120" s="191">
        <v>117457597.44</v>
      </c>
      <c r="K120" s="191">
        <v>197311.91</v>
      </c>
      <c r="L120" s="185" t="s">
        <v>290</v>
      </c>
      <c r="N120" s="192" t="s">
        <v>119</v>
      </c>
      <c r="O120" t="s">
        <v>294</v>
      </c>
    </row>
    <row r="121" spans="2:16" ht="16.5" hidden="1" customHeight="1">
      <c r="B121" t="str">
        <f t="shared" si="14"/>
        <v>132011</v>
      </c>
      <c r="C121" s="179">
        <v>132011105</v>
      </c>
      <c r="D121" t="s">
        <v>295</v>
      </c>
      <c r="E121" s="179"/>
      <c r="F121" s="179">
        <v>463490146.42000002</v>
      </c>
      <c r="G121" s="179">
        <v>-9342.42</v>
      </c>
      <c r="H121" s="179"/>
      <c r="I121" s="179"/>
      <c r="J121" s="191">
        <v>452489511.62</v>
      </c>
      <c r="K121" s="191">
        <v>-37007.1</v>
      </c>
      <c r="L121" s="185" t="s">
        <v>290</v>
      </c>
      <c r="N121" s="192" t="s">
        <v>119</v>
      </c>
      <c r="O121" t="s">
        <v>294</v>
      </c>
    </row>
    <row r="122" spans="2:16" ht="16.5" hidden="1" customHeight="1">
      <c r="B122" t="str">
        <f t="shared" si="14"/>
        <v>132011</v>
      </c>
      <c r="C122" s="179">
        <v>132011107</v>
      </c>
      <c r="D122" t="s">
        <v>296</v>
      </c>
      <c r="E122" s="179"/>
      <c r="F122" s="179">
        <v>196424.98</v>
      </c>
      <c r="G122" s="179">
        <v>-5140234.05</v>
      </c>
      <c r="H122" s="179"/>
      <c r="I122" s="179"/>
      <c r="J122" s="191">
        <v>197311.91</v>
      </c>
      <c r="K122" s="191">
        <v>-5666982.3799999999</v>
      </c>
      <c r="L122" s="185" t="s">
        <v>290</v>
      </c>
      <c r="N122" s="192" t="s">
        <v>119</v>
      </c>
      <c r="O122" t="s">
        <v>294</v>
      </c>
    </row>
    <row r="123" spans="2:16" ht="16.5" hidden="1" customHeight="1">
      <c r="B123" t="str">
        <f t="shared" si="14"/>
        <v>132011</v>
      </c>
      <c r="C123" s="179">
        <v>132011501</v>
      </c>
      <c r="D123" t="s">
        <v>297</v>
      </c>
      <c r="E123" s="179"/>
      <c r="F123" s="179"/>
      <c r="G123" s="179">
        <v>-28839757.52</v>
      </c>
      <c r="H123" s="179"/>
      <c r="I123" s="179"/>
      <c r="J123" s="191">
        <v>-38623.24</v>
      </c>
      <c r="K123" s="191">
        <v>-34157039.43</v>
      </c>
      <c r="L123" s="185" t="s">
        <v>290</v>
      </c>
      <c r="N123" s="192" t="s">
        <v>119</v>
      </c>
      <c r="O123" t="s">
        <v>298</v>
      </c>
    </row>
    <row r="124" spans="2:16" ht="16.5" hidden="1" customHeight="1">
      <c r="B124" t="str">
        <f t="shared" si="14"/>
        <v>132011</v>
      </c>
      <c r="C124" s="179">
        <v>132011504</v>
      </c>
      <c r="D124" t="s">
        <v>293</v>
      </c>
      <c r="E124" s="179"/>
      <c r="F124" s="179">
        <v>-3557628.72</v>
      </c>
      <c r="G124" s="179">
        <v>-21749.64</v>
      </c>
      <c r="H124" s="179"/>
      <c r="I124" s="179"/>
      <c r="J124" s="191">
        <v>-5912300.7300000004</v>
      </c>
      <c r="K124" s="191">
        <v>-23554.76</v>
      </c>
      <c r="L124" s="185" t="s">
        <v>290</v>
      </c>
      <c r="N124" s="192" t="s">
        <v>119</v>
      </c>
      <c r="O124" t="s">
        <v>294</v>
      </c>
    </row>
    <row r="125" spans="2:16" ht="16.5" hidden="1" customHeight="1">
      <c r="B125" t="str">
        <f t="shared" si="14"/>
        <v>132011</v>
      </c>
      <c r="C125" s="179">
        <v>132011505</v>
      </c>
      <c r="D125" t="s">
        <v>295</v>
      </c>
      <c r="E125" s="179"/>
      <c r="F125" s="179">
        <v>-19221018.260000002</v>
      </c>
      <c r="G125" s="179">
        <v>-23012.16</v>
      </c>
      <c r="H125" s="179"/>
      <c r="I125" s="179"/>
      <c r="J125" s="191">
        <v>-35658045.530000001</v>
      </c>
      <c r="K125" s="191">
        <v>-22168.2</v>
      </c>
      <c r="L125" s="185" t="s">
        <v>290</v>
      </c>
      <c r="N125" s="192" t="s">
        <v>119</v>
      </c>
      <c r="O125" t="s">
        <v>294</v>
      </c>
    </row>
    <row r="126" spans="2:16" ht="16.5" hidden="1" customHeight="1">
      <c r="B126" t="str">
        <f t="shared" si="14"/>
        <v>132011</v>
      </c>
      <c r="C126" s="179">
        <v>132011506</v>
      </c>
      <c r="D126" t="s">
        <v>299</v>
      </c>
      <c r="E126" s="179"/>
      <c r="F126" s="179"/>
      <c r="G126" s="179">
        <v>5500300.6799999997</v>
      </c>
      <c r="H126" s="179"/>
      <c r="I126" s="179"/>
      <c r="J126" s="191">
        <v>-24578.880000000001</v>
      </c>
      <c r="K126" s="191">
        <v>0</v>
      </c>
      <c r="L126" s="185" t="s">
        <v>290</v>
      </c>
      <c r="N126" s="192" t="s">
        <v>119</v>
      </c>
      <c r="O126" t="s">
        <v>294</v>
      </c>
    </row>
    <row r="127" spans="2:16" ht="16.5" hidden="1" customHeight="1">
      <c r="B127" t="str">
        <f t="shared" si="14"/>
        <v>132011</v>
      </c>
      <c r="C127" s="179">
        <v>132011507</v>
      </c>
      <c r="D127" t="s">
        <v>296</v>
      </c>
      <c r="E127" s="179"/>
      <c r="F127" s="179">
        <v>-14494.26</v>
      </c>
      <c r="G127" s="179">
        <v>445584.91</v>
      </c>
      <c r="H127" s="179"/>
      <c r="I127" s="179"/>
      <c r="J127" s="191">
        <v>-23195.9</v>
      </c>
      <c r="K127" s="191">
        <v>0</v>
      </c>
      <c r="L127" s="185" t="s">
        <v>290</v>
      </c>
      <c r="N127" s="192" t="s">
        <v>119</v>
      </c>
      <c r="O127" t="s">
        <v>294</v>
      </c>
    </row>
    <row r="128" spans="2:16" ht="16.5" hidden="1" customHeight="1">
      <c r="B128" t="str">
        <f t="shared" si="14"/>
        <v>132011</v>
      </c>
      <c r="C128" s="179">
        <v>132011904</v>
      </c>
      <c r="D128" t="s">
        <v>293</v>
      </c>
      <c r="E128" s="179"/>
      <c r="F128" s="179">
        <v>5230419.07</v>
      </c>
      <c r="G128" s="179">
        <v>23740</v>
      </c>
      <c r="H128" s="179"/>
      <c r="I128" s="179"/>
      <c r="J128" s="191">
        <v>0</v>
      </c>
      <c r="K128" s="191">
        <v>0</v>
      </c>
      <c r="L128" s="185" t="s">
        <v>290</v>
      </c>
      <c r="N128" s="192" t="s">
        <v>119</v>
      </c>
      <c r="O128" t="s">
        <v>294</v>
      </c>
    </row>
    <row r="129" spans="2:15" ht="16.5" hidden="1" customHeight="1">
      <c r="B129" t="str">
        <f t="shared" si="14"/>
        <v>132011</v>
      </c>
      <c r="C129" s="179">
        <v>132011905</v>
      </c>
      <c r="D129" t="s">
        <v>295</v>
      </c>
      <c r="E129" s="179"/>
      <c r="F129" s="179">
        <v>40598.46</v>
      </c>
      <c r="G129" s="179">
        <v>13197.9</v>
      </c>
      <c r="H129" s="179"/>
      <c r="I129" s="179"/>
      <c r="J129" s="191">
        <v>0</v>
      </c>
      <c r="K129" s="191">
        <v>0</v>
      </c>
      <c r="L129" s="185" t="s">
        <v>290</v>
      </c>
      <c r="N129" s="192" t="s">
        <v>119</v>
      </c>
      <c r="O129" t="s">
        <v>294</v>
      </c>
    </row>
    <row r="130" spans="2:15" ht="16.5" hidden="1" customHeight="1">
      <c r="B130" t="str">
        <f t="shared" si="14"/>
        <v>132011</v>
      </c>
      <c r="C130" s="179">
        <v>132011907</v>
      </c>
      <c r="D130" t="s">
        <v>296</v>
      </c>
      <c r="E130" s="179"/>
      <c r="F130" s="179">
        <v>22210</v>
      </c>
      <c r="G130" s="179">
        <v>0</v>
      </c>
      <c r="H130" s="179"/>
      <c r="I130" s="179"/>
      <c r="J130" s="191">
        <v>0</v>
      </c>
      <c r="K130" s="191">
        <v>0</v>
      </c>
      <c r="L130" s="185" t="s">
        <v>290</v>
      </c>
      <c r="N130" s="192" t="s">
        <v>119</v>
      </c>
      <c r="O130" t="s">
        <v>294</v>
      </c>
    </row>
    <row r="131" spans="2:15" ht="16.5" hidden="1" customHeight="1">
      <c r="B131" t="str">
        <f t="shared" si="14"/>
        <v>132011</v>
      </c>
      <c r="C131" s="179">
        <v>132011908</v>
      </c>
      <c r="D131" t="s">
        <v>300</v>
      </c>
      <c r="E131" s="179"/>
      <c r="F131" s="179">
        <v>13197.9</v>
      </c>
      <c r="G131" s="179">
        <v>0</v>
      </c>
      <c r="H131" s="179"/>
      <c r="I131" s="179"/>
      <c r="J131" s="191">
        <v>0</v>
      </c>
      <c r="K131" s="191">
        <v>0</v>
      </c>
      <c r="L131" s="185" t="s">
        <v>290</v>
      </c>
      <c r="N131" s="192" t="s">
        <v>119</v>
      </c>
      <c r="O131" t="s">
        <v>294</v>
      </c>
    </row>
    <row r="132" spans="2:15" ht="16.5" hidden="1" customHeight="1">
      <c r="B132" t="str">
        <f t="shared" si="14"/>
        <v>132011</v>
      </c>
      <c r="C132" s="179">
        <v>132011920</v>
      </c>
      <c r="D132" t="s">
        <v>301</v>
      </c>
      <c r="E132" s="179"/>
      <c r="F132" s="179">
        <v>0</v>
      </c>
      <c r="G132" s="179">
        <v>0</v>
      </c>
      <c r="H132" s="179"/>
      <c r="I132" s="179"/>
      <c r="J132" s="191">
        <v>0</v>
      </c>
      <c r="K132" s="191">
        <v>0</v>
      </c>
      <c r="L132" s="185" t="s">
        <v>290</v>
      </c>
      <c r="N132" s="192" t="s">
        <v>119</v>
      </c>
      <c r="O132" t="s">
        <v>294</v>
      </c>
    </row>
    <row r="133" spans="2:15" ht="16.5" hidden="1" customHeight="1">
      <c r="B133" t="str">
        <f t="shared" si="14"/>
        <v>132011</v>
      </c>
      <c r="C133" s="179">
        <v>132011990</v>
      </c>
      <c r="D133" t="s">
        <v>302</v>
      </c>
      <c r="E133" s="179"/>
      <c r="F133" s="179">
        <v>0</v>
      </c>
      <c r="G133" s="179">
        <v>564292.11</v>
      </c>
      <c r="H133" s="179"/>
      <c r="I133" s="179"/>
      <c r="J133" s="191">
        <v>0</v>
      </c>
      <c r="K133" s="191">
        <v>0</v>
      </c>
      <c r="L133" s="185" t="s">
        <v>290</v>
      </c>
      <c r="N133" s="192" t="s">
        <v>119</v>
      </c>
      <c r="O133" t="s">
        <v>294</v>
      </c>
    </row>
    <row r="134" spans="2:15" ht="16.5" hidden="1" customHeight="1">
      <c r="B134" t="str">
        <f t="shared" si="14"/>
        <v>132011</v>
      </c>
      <c r="C134" s="179">
        <v>132011991</v>
      </c>
      <c r="D134" t="s">
        <v>303</v>
      </c>
      <c r="E134" s="179"/>
      <c r="F134" s="179">
        <v>0</v>
      </c>
      <c r="G134" s="179">
        <v>8194063.5099999998</v>
      </c>
      <c r="H134" s="179"/>
      <c r="I134" s="179"/>
      <c r="J134" s="191">
        <v>0</v>
      </c>
      <c r="K134" s="191">
        <v>0</v>
      </c>
      <c r="L134" s="185" t="s">
        <v>290</v>
      </c>
      <c r="N134" s="192" t="s">
        <v>119</v>
      </c>
      <c r="O134" t="s">
        <v>294</v>
      </c>
    </row>
    <row r="135" spans="2:15" ht="16.5" hidden="1" customHeight="1">
      <c r="B135" t="str">
        <f t="shared" si="14"/>
        <v>132011</v>
      </c>
      <c r="C135" s="179">
        <v>132011995</v>
      </c>
      <c r="D135" t="s">
        <v>304</v>
      </c>
      <c r="E135" s="179"/>
      <c r="F135" s="179">
        <v>564292.11</v>
      </c>
      <c r="G135" s="179">
        <v>0</v>
      </c>
      <c r="H135" s="179"/>
      <c r="I135" s="179"/>
      <c r="J135" s="191">
        <v>0</v>
      </c>
      <c r="K135" s="191">
        <v>0</v>
      </c>
      <c r="L135" s="185" t="s">
        <v>290</v>
      </c>
      <c r="N135" s="192" t="s">
        <v>119</v>
      </c>
      <c r="O135" t="s">
        <v>294</v>
      </c>
    </row>
    <row r="136" spans="2:15" ht="16.5" hidden="1" customHeight="1">
      <c r="B136" t="str">
        <f t="shared" si="14"/>
        <v>132011</v>
      </c>
      <c r="C136" s="179">
        <v>132011996</v>
      </c>
      <c r="D136" t="s">
        <v>305</v>
      </c>
      <c r="E136" s="179"/>
      <c r="F136" s="179"/>
      <c r="G136" s="179">
        <v>0</v>
      </c>
      <c r="H136" s="179"/>
      <c r="I136" s="179"/>
      <c r="J136" s="191">
        <v>0</v>
      </c>
      <c r="K136" s="191">
        <v>0</v>
      </c>
      <c r="L136" s="185" t="s">
        <v>290</v>
      </c>
      <c r="N136" s="192" t="s">
        <v>119</v>
      </c>
      <c r="O136" t="s">
        <v>294</v>
      </c>
    </row>
    <row r="137" spans="2:15" ht="16.5" hidden="1" customHeight="1">
      <c r="B137" t="s">
        <v>306</v>
      </c>
      <c r="C137" s="179">
        <v>132011997</v>
      </c>
      <c r="D137" t="s">
        <v>305</v>
      </c>
      <c r="E137" s="179"/>
      <c r="F137" s="179">
        <v>8194063.5099999998</v>
      </c>
      <c r="J137" s="191">
        <v>0</v>
      </c>
      <c r="K137" s="191">
        <v>96944.27</v>
      </c>
      <c r="L137" s="185" t="s">
        <v>307</v>
      </c>
      <c r="N137" s="192" t="s">
        <v>119</v>
      </c>
      <c r="O137" t="s">
        <v>294</v>
      </c>
    </row>
    <row r="138" spans="2:15" ht="16.5" hidden="1" customHeight="1">
      <c r="B138" t="s">
        <v>306</v>
      </c>
      <c r="C138" s="179">
        <v>132011999</v>
      </c>
      <c r="D138" t="s">
        <v>308</v>
      </c>
      <c r="E138" s="179"/>
      <c r="F138" s="179">
        <v>0</v>
      </c>
      <c r="J138" s="191">
        <v>0</v>
      </c>
      <c r="K138" s="191">
        <v>9179468.75</v>
      </c>
      <c r="L138" s="185" t="s">
        <v>290</v>
      </c>
      <c r="N138" s="192" t="s">
        <v>119</v>
      </c>
      <c r="O138" t="s">
        <v>294</v>
      </c>
    </row>
    <row r="139" spans="2:15" ht="16.5" hidden="1" customHeight="1">
      <c r="B139" t="s">
        <v>306</v>
      </c>
      <c r="C139" s="179">
        <v>132011101</v>
      </c>
      <c r="D139" t="s">
        <v>297</v>
      </c>
      <c r="E139" s="179"/>
      <c r="F139" s="179"/>
      <c r="J139" s="191">
        <v>105844.27</v>
      </c>
      <c r="K139" s="191">
        <v>86000</v>
      </c>
      <c r="L139" s="185" t="s">
        <v>290</v>
      </c>
      <c r="N139" s="192" t="s">
        <v>119</v>
      </c>
      <c r="O139" t="s">
        <v>298</v>
      </c>
    </row>
    <row r="140" spans="2:15" ht="16.5" hidden="1" customHeight="1">
      <c r="B140" t="str">
        <f>LEFT(C140,6)</f>
        <v>132011</v>
      </c>
      <c r="C140" s="179">
        <v>132011102</v>
      </c>
      <c r="D140" t="s">
        <v>309</v>
      </c>
      <c r="E140" s="179"/>
      <c r="F140" s="179"/>
      <c r="G140" s="179">
        <v>5219306</v>
      </c>
      <c r="H140" s="179"/>
      <c r="I140" s="179"/>
      <c r="J140" s="191">
        <v>9179468.75</v>
      </c>
      <c r="K140" s="191">
        <v>0</v>
      </c>
      <c r="L140" s="185" t="s">
        <v>290</v>
      </c>
      <c r="N140" s="192" t="s">
        <v>119</v>
      </c>
      <c r="O140" t="s">
        <v>294</v>
      </c>
    </row>
    <row r="141" spans="2:15" ht="16.5" hidden="1" customHeight="1">
      <c r="B141" t="str">
        <f>LEFT(C141,6)</f>
        <v>132011</v>
      </c>
      <c r="C141" s="179">
        <v>132011106</v>
      </c>
      <c r="D141" t="s">
        <v>299</v>
      </c>
      <c r="E141" s="179"/>
      <c r="F141" s="179"/>
      <c r="G141" s="179">
        <v>35952.61</v>
      </c>
      <c r="H141" s="179"/>
      <c r="I141" s="179"/>
      <c r="J141" s="191">
        <v>86000</v>
      </c>
      <c r="K141" s="191">
        <v>5069627.2699999996</v>
      </c>
      <c r="L141" s="185" t="s">
        <v>290</v>
      </c>
      <c r="N141" s="192" t="s">
        <v>119</v>
      </c>
      <c r="O141" t="s">
        <v>294</v>
      </c>
    </row>
    <row r="142" spans="2:15" ht="16.5" hidden="1" customHeight="1">
      <c r="B142" t="str">
        <f>LEFT(C142,6)</f>
        <v>132012</v>
      </c>
      <c r="C142" s="179">
        <v>132012102</v>
      </c>
      <c r="D142" t="s">
        <v>309</v>
      </c>
      <c r="E142" s="179"/>
      <c r="F142" s="179">
        <v>5219306</v>
      </c>
      <c r="G142" s="179">
        <v>7400</v>
      </c>
      <c r="H142" s="179"/>
      <c r="I142" s="179"/>
      <c r="J142" s="191">
        <v>0</v>
      </c>
      <c r="K142" s="191">
        <v>32589305.329999998</v>
      </c>
      <c r="L142" s="185" t="s">
        <v>290</v>
      </c>
      <c r="N142" s="192" t="s">
        <v>119</v>
      </c>
      <c r="O142" t="s">
        <v>294</v>
      </c>
    </row>
    <row r="143" spans="2:15" ht="16.5" hidden="1" customHeight="1">
      <c r="B143" t="str">
        <f>LEFT(C143,6)</f>
        <v>132012</v>
      </c>
      <c r="C143" s="179">
        <v>132012104</v>
      </c>
      <c r="D143" t="s">
        <v>293</v>
      </c>
      <c r="E143" s="179"/>
      <c r="F143" s="179">
        <v>33590.11</v>
      </c>
      <c r="G143" s="179">
        <v>1589</v>
      </c>
      <c r="H143" s="179"/>
      <c r="I143" s="179"/>
      <c r="J143" s="191">
        <v>6109426.0599999996</v>
      </c>
      <c r="K143" s="191">
        <v>0</v>
      </c>
      <c r="L143" s="185" t="s">
        <v>290</v>
      </c>
      <c r="N143" s="192" t="s">
        <v>119</v>
      </c>
      <c r="O143" t="s">
        <v>294</v>
      </c>
    </row>
    <row r="144" spans="2:15" ht="16.5" hidden="1" customHeight="1">
      <c r="B144" t="str">
        <f>LEFT(C144,6)</f>
        <v>132012</v>
      </c>
      <c r="C144" s="179">
        <v>132012105</v>
      </c>
      <c r="D144" t="s">
        <v>295</v>
      </c>
      <c r="E144" s="179"/>
      <c r="F144" s="179"/>
      <c r="G144" s="179">
        <v>14205639.23</v>
      </c>
      <c r="H144" s="179"/>
      <c r="I144" s="179"/>
      <c r="J144" s="191">
        <v>31549506.539999999</v>
      </c>
      <c r="K144" s="191">
        <v>0</v>
      </c>
      <c r="L144" s="185" t="s">
        <v>290</v>
      </c>
      <c r="N144" s="192" t="s">
        <v>119</v>
      </c>
      <c r="O144" t="s">
        <v>294</v>
      </c>
    </row>
    <row r="145" spans="2:15" ht="16.5" hidden="1" customHeight="1">
      <c r="B145" t="s">
        <v>310</v>
      </c>
      <c r="C145" s="179">
        <v>132012905</v>
      </c>
      <c r="D145" t="s">
        <v>295</v>
      </c>
      <c r="E145" s="179"/>
      <c r="F145" s="179"/>
      <c r="J145" s="191">
        <v>0</v>
      </c>
      <c r="K145" s="191">
        <v>1790.82</v>
      </c>
      <c r="L145" s="185" t="s">
        <v>290</v>
      </c>
      <c r="N145" s="192" t="s">
        <v>119</v>
      </c>
      <c r="O145" t="s">
        <v>294</v>
      </c>
    </row>
    <row r="146" spans="2:15" ht="16.5" hidden="1" customHeight="1">
      <c r="B146" t="s">
        <v>310</v>
      </c>
      <c r="C146" s="179">
        <v>132012999</v>
      </c>
      <c r="D146" t="s">
        <v>300</v>
      </c>
      <c r="E146" s="179"/>
      <c r="F146" s="179">
        <v>14205639.23</v>
      </c>
      <c r="J146" s="191">
        <v>0</v>
      </c>
      <c r="K146" s="191">
        <v>-290469.87</v>
      </c>
      <c r="L146" s="185" t="s">
        <v>290</v>
      </c>
      <c r="N146" s="192" t="s">
        <v>119</v>
      </c>
      <c r="O146" t="s">
        <v>294</v>
      </c>
    </row>
    <row r="147" spans="2:15" ht="16.5" hidden="1" customHeight="1">
      <c r="B147" t="s">
        <v>310</v>
      </c>
      <c r="C147" s="179">
        <v>132012107</v>
      </c>
      <c r="D147" t="s">
        <v>296</v>
      </c>
      <c r="E147" s="179"/>
      <c r="F147" s="179"/>
      <c r="J147" s="191">
        <v>1790.82</v>
      </c>
      <c r="K147" s="191">
        <v>-1967721.81</v>
      </c>
      <c r="L147" s="185" t="s">
        <v>290</v>
      </c>
      <c r="N147" s="192" t="s">
        <v>119</v>
      </c>
      <c r="O147" t="s">
        <v>294</v>
      </c>
    </row>
    <row r="148" spans="2:15" ht="16.5" hidden="1" customHeight="1">
      <c r="B148" t="s">
        <v>310</v>
      </c>
      <c r="C148" s="179">
        <v>132012504</v>
      </c>
      <c r="D148" t="s">
        <v>311</v>
      </c>
      <c r="E148" s="179"/>
      <c r="F148" s="179"/>
      <c r="J148" s="191">
        <v>-309126.42</v>
      </c>
      <c r="K148" s="191">
        <v>-217.13</v>
      </c>
      <c r="L148" s="185" t="s">
        <v>290</v>
      </c>
      <c r="N148" s="192" t="s">
        <v>119</v>
      </c>
      <c r="O148" t="s">
        <v>294</v>
      </c>
    </row>
    <row r="149" spans="2:15" ht="16.5" hidden="1" customHeight="1">
      <c r="B149" t="str">
        <f t="shared" ref="B149:B169" si="15">LEFT(C149,6)</f>
        <v>132012</v>
      </c>
      <c r="C149" s="179">
        <v>132012505</v>
      </c>
      <c r="D149" t="s">
        <v>295</v>
      </c>
      <c r="E149" s="179"/>
      <c r="F149" s="179"/>
      <c r="G149" s="179">
        <v>112394.46</v>
      </c>
      <c r="H149" s="179"/>
      <c r="I149" s="179"/>
      <c r="J149" s="191">
        <v>-2054118.88</v>
      </c>
      <c r="K149" s="191">
        <v>28689.41</v>
      </c>
      <c r="L149" s="185" t="s">
        <v>307</v>
      </c>
      <c r="N149" s="192" t="s">
        <v>119</v>
      </c>
      <c r="O149" t="s">
        <v>294</v>
      </c>
    </row>
    <row r="150" spans="2:15" ht="16.5" hidden="1" customHeight="1">
      <c r="B150" t="str">
        <f t="shared" si="15"/>
        <v>132012</v>
      </c>
      <c r="C150" s="179">
        <v>132012507</v>
      </c>
      <c r="D150" t="s">
        <v>296</v>
      </c>
      <c r="E150" s="179"/>
      <c r="F150" s="179"/>
      <c r="G150" s="179">
        <v>3882207.95</v>
      </c>
      <c r="H150" s="179"/>
      <c r="I150" s="179"/>
      <c r="J150" s="191">
        <v>-226.44</v>
      </c>
      <c r="K150" s="191">
        <v>0</v>
      </c>
      <c r="L150" s="185" t="s">
        <v>290</v>
      </c>
      <c r="N150" s="192" t="s">
        <v>119</v>
      </c>
      <c r="O150" t="s">
        <v>294</v>
      </c>
    </row>
    <row r="151" spans="2:15" ht="16.5" hidden="1" customHeight="1">
      <c r="B151" t="str">
        <f t="shared" si="15"/>
        <v>132041</v>
      </c>
      <c r="C151" s="179">
        <v>132041101</v>
      </c>
      <c r="D151" t="s">
        <v>297</v>
      </c>
      <c r="E151" s="179"/>
      <c r="F151" s="179">
        <v>96091.15</v>
      </c>
      <c r="G151" s="179">
        <v>39079.18</v>
      </c>
      <c r="H151" s="179"/>
      <c r="I151" s="179"/>
      <c r="J151" s="191">
        <v>28689.41</v>
      </c>
      <c r="K151" s="191">
        <v>10923986.77</v>
      </c>
      <c r="L151" s="185" t="s">
        <v>290</v>
      </c>
      <c r="N151" s="192" t="s">
        <v>119</v>
      </c>
      <c r="O151" t="s">
        <v>298</v>
      </c>
    </row>
    <row r="152" spans="2:15" ht="16.5" hidden="1" customHeight="1">
      <c r="B152" t="str">
        <f t="shared" si="15"/>
        <v>132041</v>
      </c>
      <c r="C152" s="179">
        <v>132041102</v>
      </c>
      <c r="D152" t="s">
        <v>309</v>
      </c>
      <c r="E152" s="179"/>
      <c r="F152" s="179">
        <v>3882207.95</v>
      </c>
      <c r="G152" s="179">
        <v>429405.05</v>
      </c>
      <c r="H152" s="179"/>
      <c r="I152" s="179"/>
      <c r="J152" s="191">
        <v>0</v>
      </c>
      <c r="K152" s="191">
        <v>620090.18999999994</v>
      </c>
      <c r="L152" s="185" t="s">
        <v>290</v>
      </c>
      <c r="N152" s="192" t="s">
        <v>119</v>
      </c>
      <c r="O152" t="s">
        <v>294</v>
      </c>
    </row>
    <row r="153" spans="2:15" ht="16.5" hidden="1" customHeight="1">
      <c r="B153" t="str">
        <f t="shared" si="15"/>
        <v>132041</v>
      </c>
      <c r="C153" s="179">
        <v>132041104</v>
      </c>
      <c r="D153" t="s">
        <v>293</v>
      </c>
      <c r="E153" s="179"/>
      <c r="F153" s="179">
        <v>39079.18</v>
      </c>
      <c r="G153" s="179">
        <v>284978.36</v>
      </c>
      <c r="H153" s="179"/>
      <c r="I153" s="179"/>
      <c r="J153" s="191">
        <v>10923986.77</v>
      </c>
      <c r="K153" s="191">
        <v>131496.51</v>
      </c>
      <c r="L153" s="185" t="s">
        <v>290</v>
      </c>
      <c r="N153" s="192" t="s">
        <v>119</v>
      </c>
      <c r="O153" t="s">
        <v>294</v>
      </c>
    </row>
    <row r="154" spans="2:15" ht="16.5" hidden="1" customHeight="1">
      <c r="B154" t="str">
        <f t="shared" si="15"/>
        <v>132041</v>
      </c>
      <c r="C154" s="179">
        <v>132041105</v>
      </c>
      <c r="D154" t="s">
        <v>295</v>
      </c>
      <c r="E154" s="179"/>
      <c r="F154" s="179">
        <v>348963.7</v>
      </c>
      <c r="G154" s="179">
        <v>348888.1</v>
      </c>
      <c r="H154" s="179"/>
      <c r="I154" s="179"/>
      <c r="J154" s="191">
        <v>623189.18999999994</v>
      </c>
      <c r="K154" s="191">
        <v>221506.77</v>
      </c>
      <c r="L154" s="185" t="s">
        <v>290</v>
      </c>
      <c r="N154" s="192" t="s">
        <v>119</v>
      </c>
      <c r="O154" t="s">
        <v>294</v>
      </c>
    </row>
    <row r="155" spans="2:15" ht="16.5" hidden="1" customHeight="1">
      <c r="B155" t="str">
        <f t="shared" si="15"/>
        <v>132041</v>
      </c>
      <c r="C155" s="179">
        <v>132041106</v>
      </c>
      <c r="D155" t="s">
        <v>299</v>
      </c>
      <c r="E155" s="179"/>
      <c r="F155" s="179">
        <v>284978.36</v>
      </c>
      <c r="G155" s="179">
        <v>3257.99</v>
      </c>
      <c r="H155" s="179"/>
      <c r="I155" s="179"/>
      <c r="J155" s="191">
        <v>131496.51</v>
      </c>
      <c r="K155" s="191">
        <v>0</v>
      </c>
      <c r="L155" s="185" t="s">
        <v>290</v>
      </c>
      <c r="N155" s="192" t="s">
        <v>119</v>
      </c>
      <c r="O155" t="s">
        <v>294</v>
      </c>
    </row>
    <row r="156" spans="2:15" ht="16.5" hidden="1" customHeight="1">
      <c r="B156" t="str">
        <f t="shared" si="15"/>
        <v>132041</v>
      </c>
      <c r="C156" s="179">
        <v>132041107</v>
      </c>
      <c r="D156" t="s">
        <v>296</v>
      </c>
      <c r="E156" s="179"/>
      <c r="F156" s="179">
        <v>337887.56</v>
      </c>
      <c r="G156" s="179">
        <v>-21351.55</v>
      </c>
      <c r="H156" s="179"/>
      <c r="I156" s="179"/>
      <c r="J156" s="191">
        <v>221506.77</v>
      </c>
      <c r="K156" s="191">
        <v>-1044.54</v>
      </c>
      <c r="L156" s="185" t="s">
        <v>290</v>
      </c>
      <c r="N156" s="192" t="s">
        <v>119</v>
      </c>
      <c r="O156" t="s">
        <v>294</v>
      </c>
    </row>
    <row r="157" spans="2:15" ht="16.5" hidden="1" customHeight="1">
      <c r="B157" t="str">
        <f t="shared" si="15"/>
        <v>132041</v>
      </c>
      <c r="C157" s="179">
        <v>132041108</v>
      </c>
      <c r="D157" t="s">
        <v>312</v>
      </c>
      <c r="E157" s="179"/>
      <c r="F157" s="179">
        <v>0</v>
      </c>
      <c r="G157" s="179">
        <v>-203674.55</v>
      </c>
      <c r="H157" s="179"/>
      <c r="I157" s="179"/>
      <c r="J157" s="191">
        <v>0</v>
      </c>
      <c r="K157" s="191">
        <v>-697181.78</v>
      </c>
      <c r="L157" s="185" t="s">
        <v>290</v>
      </c>
      <c r="N157" s="192" t="s">
        <v>119</v>
      </c>
      <c r="O157" t="s">
        <v>294</v>
      </c>
    </row>
    <row r="158" spans="2:15" ht="16.5" hidden="1" customHeight="1">
      <c r="B158" t="str">
        <f t="shared" si="15"/>
        <v>132041</v>
      </c>
      <c r="C158" s="179">
        <v>132041501</v>
      </c>
      <c r="D158" t="s">
        <v>297</v>
      </c>
      <c r="E158" s="179"/>
      <c r="F158" s="179">
        <v>-21351.55</v>
      </c>
      <c r="G158" s="179">
        <v>-13846.37</v>
      </c>
      <c r="H158" s="179"/>
      <c r="I158" s="179"/>
      <c r="J158" s="191">
        <v>-1500.69</v>
      </c>
      <c r="K158" s="191">
        <v>-72688.61</v>
      </c>
      <c r="L158" s="185" t="s">
        <v>290</v>
      </c>
      <c r="N158" s="192" t="s">
        <v>119</v>
      </c>
      <c r="O158" t="s">
        <v>298</v>
      </c>
    </row>
    <row r="159" spans="2:15" ht="16.5" hidden="1" customHeight="1">
      <c r="B159" t="str">
        <f t="shared" si="15"/>
        <v>132041</v>
      </c>
      <c r="C159" s="179">
        <v>132041504</v>
      </c>
      <c r="D159" t="s">
        <v>293</v>
      </c>
      <c r="E159" s="179"/>
      <c r="F159" s="179">
        <v>-6792.92</v>
      </c>
      <c r="G159" s="179">
        <v>-110981.13</v>
      </c>
      <c r="H159" s="179"/>
      <c r="I159" s="179"/>
      <c r="J159" s="191">
        <v>-727495.84</v>
      </c>
      <c r="K159" s="191">
        <v>-36015.93</v>
      </c>
      <c r="L159" s="185" t="s">
        <v>290</v>
      </c>
      <c r="N159" s="192" t="s">
        <v>119</v>
      </c>
      <c r="O159" t="s">
        <v>294</v>
      </c>
    </row>
    <row r="160" spans="2:15" ht="16.5" hidden="1" customHeight="1">
      <c r="B160" t="str">
        <f t="shared" si="15"/>
        <v>132041</v>
      </c>
      <c r="C160" s="179">
        <v>132041505</v>
      </c>
      <c r="D160" t="s">
        <v>295</v>
      </c>
      <c r="E160" s="179"/>
      <c r="F160" s="179">
        <v>-54663.55</v>
      </c>
      <c r="G160" s="179">
        <v>-86118.73</v>
      </c>
      <c r="H160" s="179"/>
      <c r="I160" s="179"/>
      <c r="J160" s="191">
        <v>-76760.06</v>
      </c>
      <c r="K160" s="191">
        <v>-22766.71</v>
      </c>
      <c r="L160" s="185" t="s">
        <v>290</v>
      </c>
      <c r="N160" s="192" t="s">
        <v>119</v>
      </c>
      <c r="O160" t="s">
        <v>294</v>
      </c>
    </row>
    <row r="161" spans="2:16" ht="16.5" hidden="1" customHeight="1">
      <c r="B161" t="str">
        <f t="shared" si="15"/>
        <v>132041</v>
      </c>
      <c r="C161" s="179">
        <v>132041506</v>
      </c>
      <c r="D161" t="s">
        <v>299</v>
      </c>
      <c r="E161" s="179"/>
      <c r="F161" s="179">
        <v>-110981.13</v>
      </c>
      <c r="G161" s="179">
        <v>0</v>
      </c>
      <c r="H161" s="179"/>
      <c r="I161" s="179"/>
      <c r="J161" s="191">
        <v>-37581.839999999997</v>
      </c>
      <c r="K161" s="191">
        <v>0</v>
      </c>
      <c r="L161" s="185" t="s">
        <v>290</v>
      </c>
      <c r="N161" s="192" t="s">
        <v>119</v>
      </c>
      <c r="O161" t="s">
        <v>294</v>
      </c>
    </row>
    <row r="162" spans="2:16" ht="16.5" hidden="1" customHeight="1">
      <c r="B162" t="str">
        <f t="shared" si="15"/>
        <v>132041</v>
      </c>
      <c r="C162" s="179">
        <v>132041507</v>
      </c>
      <c r="D162" t="s">
        <v>296</v>
      </c>
      <c r="E162" s="179"/>
      <c r="F162" s="179">
        <v>-71763.19</v>
      </c>
      <c r="G162" s="179">
        <v>1349.9</v>
      </c>
      <c r="H162" s="179"/>
      <c r="I162" s="179"/>
      <c r="J162" s="191">
        <v>-23921.39</v>
      </c>
      <c r="K162" s="191">
        <v>0</v>
      </c>
      <c r="L162" s="185" t="s">
        <v>290</v>
      </c>
      <c r="N162" s="192" t="s">
        <v>119</v>
      </c>
      <c r="O162" t="s">
        <v>294</v>
      </c>
    </row>
    <row r="163" spans="2:16" ht="16.5" hidden="1" customHeight="1">
      <c r="B163" t="str">
        <f t="shared" si="15"/>
        <v>132041</v>
      </c>
      <c r="C163" s="179">
        <v>132041508</v>
      </c>
      <c r="D163" t="s">
        <v>312</v>
      </c>
      <c r="E163" s="179"/>
      <c r="F163" s="179">
        <v>0</v>
      </c>
      <c r="G163" s="179">
        <v>1677</v>
      </c>
      <c r="H163" s="179"/>
      <c r="I163" s="179"/>
      <c r="J163" s="191">
        <v>0</v>
      </c>
      <c r="K163" s="191">
        <v>0</v>
      </c>
      <c r="L163" s="185" t="s">
        <v>290</v>
      </c>
      <c r="N163" s="192" t="s">
        <v>119</v>
      </c>
      <c r="O163" t="s">
        <v>294</v>
      </c>
    </row>
    <row r="164" spans="2:16" ht="16.5" hidden="1" customHeight="1">
      <c r="B164" t="str">
        <f t="shared" si="15"/>
        <v>132041</v>
      </c>
      <c r="C164" s="179">
        <v>132041905</v>
      </c>
      <c r="D164" t="s">
        <v>295</v>
      </c>
      <c r="E164" s="179"/>
      <c r="F164" s="179"/>
      <c r="G164" s="179">
        <v>839544.47</v>
      </c>
      <c r="H164" s="179"/>
      <c r="I164" s="179"/>
      <c r="J164" s="191">
        <v>0</v>
      </c>
      <c r="K164" s="191">
        <v>839544.47</v>
      </c>
      <c r="L164" s="185" t="s">
        <v>313</v>
      </c>
      <c r="N164" s="192" t="s">
        <v>119</v>
      </c>
      <c r="O164" t="s">
        <v>294</v>
      </c>
    </row>
    <row r="165" spans="2:16" ht="16.5" hidden="1" customHeight="1">
      <c r="B165" t="str">
        <f t="shared" si="15"/>
        <v>132041</v>
      </c>
      <c r="C165" s="179">
        <v>132041907</v>
      </c>
      <c r="D165" t="s">
        <v>296</v>
      </c>
      <c r="E165" s="179"/>
      <c r="F165" s="179"/>
      <c r="G165" s="179">
        <v>-251863.38</v>
      </c>
      <c r="H165" s="179"/>
      <c r="I165" s="179"/>
      <c r="J165" s="191">
        <v>0</v>
      </c>
      <c r="K165" s="191">
        <v>-321825.43</v>
      </c>
      <c r="L165" s="185" t="s">
        <v>313</v>
      </c>
      <c r="N165" s="192" t="s">
        <v>119</v>
      </c>
      <c r="O165" t="s">
        <v>294</v>
      </c>
    </row>
    <row r="166" spans="2:16" ht="16.5" hidden="1" customHeight="1">
      <c r="B166" t="str">
        <f t="shared" si="15"/>
        <v>133041</v>
      </c>
      <c r="C166" s="179">
        <v>133041101</v>
      </c>
      <c r="D166" t="s">
        <v>314</v>
      </c>
      <c r="E166" s="179"/>
      <c r="F166" s="179">
        <v>839544.47</v>
      </c>
      <c r="G166" s="179">
        <v>-2625978.75</v>
      </c>
      <c r="H166" s="179"/>
      <c r="I166" s="179"/>
      <c r="J166" s="191">
        <v>839544.47</v>
      </c>
      <c r="K166" s="191">
        <v>-2594255.54</v>
      </c>
      <c r="L166" s="185" t="s">
        <v>315</v>
      </c>
      <c r="N166" s="192" t="s">
        <v>121</v>
      </c>
      <c r="O166" t="s">
        <v>316</v>
      </c>
      <c r="P166" t="s">
        <v>317</v>
      </c>
    </row>
    <row r="167" spans="2:16" ht="16.5" hidden="1" customHeight="1">
      <c r="B167" t="str">
        <f t="shared" si="15"/>
        <v>133041</v>
      </c>
      <c r="C167" s="179">
        <v>133041501</v>
      </c>
      <c r="D167" t="s">
        <v>314</v>
      </c>
      <c r="E167" s="179"/>
      <c r="F167" s="179">
        <v>-167908.92</v>
      </c>
      <c r="G167" s="179">
        <v>0</v>
      </c>
      <c r="H167" s="179"/>
      <c r="I167" s="179"/>
      <c r="J167" s="191">
        <v>-335817.84</v>
      </c>
      <c r="K167" s="191">
        <v>0</v>
      </c>
      <c r="L167" s="185" t="s">
        <v>315</v>
      </c>
      <c r="N167" s="192" t="s">
        <v>121</v>
      </c>
      <c r="O167" t="s">
        <v>316</v>
      </c>
      <c r="P167" t="s">
        <v>318</v>
      </c>
    </row>
    <row r="168" spans="2:16" ht="16.5" hidden="1" customHeight="1">
      <c r="B168" t="str">
        <f t="shared" si="15"/>
        <v>211011</v>
      </c>
      <c r="C168" s="179">
        <v>211011101001</v>
      </c>
      <c r="D168" t="s">
        <v>319</v>
      </c>
      <c r="E168" s="179"/>
      <c r="F168" s="179">
        <v>-1587390.37</v>
      </c>
      <c r="G168" s="179">
        <v>-68327234.310000002</v>
      </c>
      <c r="H168" s="179"/>
      <c r="I168" s="179"/>
      <c r="J168" s="191">
        <v>-2577085.54</v>
      </c>
      <c r="K168" s="191">
        <v>-41089925.619999997</v>
      </c>
      <c r="L168" s="185" t="s">
        <v>315</v>
      </c>
      <c r="N168" s="192" t="s">
        <v>121</v>
      </c>
      <c r="O168" t="s">
        <v>320</v>
      </c>
      <c r="P168" t="s">
        <v>318</v>
      </c>
    </row>
    <row r="169" spans="2:16" ht="16.5" hidden="1" customHeight="1">
      <c r="B169" t="str">
        <f t="shared" si="15"/>
        <v>211012</v>
      </c>
      <c r="C169" s="179">
        <v>211012001001</v>
      </c>
      <c r="D169" t="s">
        <v>321</v>
      </c>
      <c r="E169" s="179"/>
      <c r="F169" s="179">
        <v>-1710254.54</v>
      </c>
      <c r="G169" s="179">
        <v>0</v>
      </c>
      <c r="H169" s="179"/>
      <c r="I169" s="179"/>
      <c r="J169" s="191">
        <v>0</v>
      </c>
      <c r="K169" s="191">
        <v>0</v>
      </c>
      <c r="L169" s="185" t="s">
        <v>315</v>
      </c>
      <c r="N169" s="192" t="s">
        <v>121</v>
      </c>
      <c r="O169" t="s">
        <v>320</v>
      </c>
      <c r="P169" t="s">
        <v>317</v>
      </c>
    </row>
    <row r="170" spans="2:16" ht="16.5" hidden="1" customHeight="1">
      <c r="B170" t="s">
        <v>322</v>
      </c>
      <c r="C170" s="179">
        <v>211012101001</v>
      </c>
      <c r="D170" t="s">
        <v>323</v>
      </c>
      <c r="E170" s="179"/>
      <c r="F170" s="179"/>
      <c r="J170" s="191">
        <v>-24115208.620000001</v>
      </c>
      <c r="K170" s="191">
        <v>-1420187.6</v>
      </c>
      <c r="L170" s="185" t="s">
        <v>315</v>
      </c>
      <c r="N170" s="192" t="s">
        <v>121</v>
      </c>
      <c r="O170" t="s">
        <v>320</v>
      </c>
    </row>
    <row r="171" spans="2:16" ht="16.5" hidden="1" customHeight="1">
      <c r="B171" t="str">
        <f t="shared" ref="B171:B234" si="16">LEFT(C171,6)</f>
        <v>211012</v>
      </c>
      <c r="C171" s="179">
        <v>211012101002</v>
      </c>
      <c r="D171" t="s">
        <v>324</v>
      </c>
      <c r="E171" s="179"/>
      <c r="F171" s="179"/>
      <c r="G171" s="179">
        <v>0</v>
      </c>
      <c r="H171" s="179"/>
      <c r="I171" s="179"/>
      <c r="J171" s="191">
        <v>0</v>
      </c>
      <c r="K171" s="191">
        <v>0</v>
      </c>
      <c r="L171" s="185" t="s">
        <v>315</v>
      </c>
      <c r="N171" s="192" t="s">
        <v>121</v>
      </c>
      <c r="O171" t="s">
        <v>320</v>
      </c>
      <c r="P171" t="s">
        <v>317</v>
      </c>
    </row>
    <row r="172" spans="2:16" ht="16.5" hidden="1" customHeight="1">
      <c r="B172" t="str">
        <f t="shared" si="16"/>
        <v>211012</v>
      </c>
      <c r="C172" s="179">
        <v>211012101003</v>
      </c>
      <c r="D172" t="s">
        <v>325</v>
      </c>
      <c r="E172" s="179"/>
      <c r="F172" s="179"/>
      <c r="G172" s="179">
        <v>0</v>
      </c>
      <c r="H172" s="179"/>
      <c r="I172" s="179"/>
      <c r="J172" s="191">
        <v>0</v>
      </c>
      <c r="K172" s="191">
        <v>0</v>
      </c>
      <c r="L172" s="185" t="s">
        <v>315</v>
      </c>
      <c r="N172" s="192" t="s">
        <v>121</v>
      </c>
      <c r="O172" t="s">
        <v>320</v>
      </c>
      <c r="P172" t="s">
        <v>317</v>
      </c>
    </row>
    <row r="173" spans="2:16" ht="16.5" hidden="1" customHeight="1">
      <c r="B173" t="str">
        <f t="shared" si="16"/>
        <v>211012</v>
      </c>
      <c r="C173" s="179">
        <v>211012101006</v>
      </c>
      <c r="D173" t="s">
        <v>326</v>
      </c>
      <c r="E173" s="179"/>
      <c r="F173" s="179"/>
      <c r="G173" s="179">
        <v>0</v>
      </c>
      <c r="H173" s="179"/>
      <c r="I173" s="179"/>
      <c r="J173" s="191">
        <v>-910476</v>
      </c>
      <c r="K173" s="191">
        <v>0</v>
      </c>
      <c r="L173" s="185" t="s">
        <v>315</v>
      </c>
      <c r="N173" s="192" t="s">
        <v>121</v>
      </c>
      <c r="O173" t="s">
        <v>320</v>
      </c>
      <c r="P173" t="s">
        <v>317</v>
      </c>
    </row>
    <row r="174" spans="2:16" ht="16.5" hidden="1" customHeight="1">
      <c r="B174" t="str">
        <f t="shared" si="16"/>
        <v>211013</v>
      </c>
      <c r="C174" s="179">
        <v>211013001003</v>
      </c>
      <c r="D174" t="s">
        <v>327</v>
      </c>
      <c r="E174" s="179"/>
      <c r="F174" s="179">
        <v>-359.44</v>
      </c>
      <c r="G174" s="179">
        <v>0</v>
      </c>
      <c r="H174" s="179"/>
      <c r="I174" s="179"/>
      <c r="J174" s="191">
        <v>0</v>
      </c>
      <c r="K174" s="191">
        <v>0</v>
      </c>
      <c r="L174" s="185" t="s">
        <v>315</v>
      </c>
      <c r="N174" s="192" t="s">
        <v>121</v>
      </c>
      <c r="O174" t="s">
        <v>320</v>
      </c>
      <c r="P174" t="s">
        <v>317</v>
      </c>
    </row>
    <row r="175" spans="2:16" ht="16.5" hidden="1" customHeight="1">
      <c r="B175" t="str">
        <f t="shared" si="16"/>
        <v>211013</v>
      </c>
      <c r="C175" s="179">
        <v>211013001007</v>
      </c>
      <c r="D175" t="s">
        <v>328</v>
      </c>
      <c r="E175" s="179"/>
      <c r="F175" s="179">
        <v>0</v>
      </c>
      <c r="G175" s="179">
        <v>0</v>
      </c>
      <c r="H175" s="179"/>
      <c r="I175" s="179"/>
      <c r="J175" s="191">
        <v>0</v>
      </c>
      <c r="K175" s="191">
        <v>0</v>
      </c>
      <c r="L175" s="185" t="s">
        <v>315</v>
      </c>
      <c r="N175" s="192" t="s">
        <v>121</v>
      </c>
      <c r="O175" t="s">
        <v>320</v>
      </c>
      <c r="P175" t="s">
        <v>317</v>
      </c>
    </row>
    <row r="176" spans="2:16" ht="16.5" hidden="1" customHeight="1">
      <c r="B176" t="str">
        <f t="shared" si="16"/>
        <v>211013</v>
      </c>
      <c r="C176" s="179">
        <v>211013001008</v>
      </c>
      <c r="D176" t="s">
        <v>329</v>
      </c>
      <c r="E176" s="179"/>
      <c r="F176" s="179">
        <v>-3372.69</v>
      </c>
      <c r="G176" s="179">
        <v>0</v>
      </c>
      <c r="H176" s="179"/>
      <c r="I176" s="179"/>
      <c r="J176" s="191">
        <v>0</v>
      </c>
      <c r="K176" s="191">
        <v>0</v>
      </c>
      <c r="L176" s="185" t="s">
        <v>315</v>
      </c>
      <c r="N176" s="192" t="s">
        <v>121</v>
      </c>
      <c r="O176" t="s">
        <v>320</v>
      </c>
      <c r="P176" t="s">
        <v>317</v>
      </c>
    </row>
    <row r="177" spans="2:16" ht="16.5" hidden="1" customHeight="1">
      <c r="B177" t="str">
        <f t="shared" si="16"/>
        <v>211013</v>
      </c>
      <c r="C177" s="179">
        <v>211013001011</v>
      </c>
      <c r="D177" t="s">
        <v>330</v>
      </c>
      <c r="E177" s="179"/>
      <c r="F177" s="179">
        <v>0</v>
      </c>
      <c r="G177" s="179">
        <v>0</v>
      </c>
      <c r="H177" s="179"/>
      <c r="I177" s="179"/>
      <c r="J177" s="191">
        <v>0</v>
      </c>
      <c r="K177" s="191">
        <v>0</v>
      </c>
      <c r="L177" s="185" t="s">
        <v>315</v>
      </c>
      <c r="N177" s="192" t="s">
        <v>121</v>
      </c>
      <c r="O177" t="s">
        <v>320</v>
      </c>
      <c r="P177" t="s">
        <v>317</v>
      </c>
    </row>
    <row r="178" spans="2:16" ht="16.5" hidden="1" customHeight="1">
      <c r="B178" t="str">
        <f t="shared" si="16"/>
        <v>211013</v>
      </c>
      <c r="C178" s="179">
        <v>211013001012</v>
      </c>
      <c r="D178" t="s">
        <v>331</v>
      </c>
      <c r="E178" s="179"/>
      <c r="F178" s="179">
        <v>0</v>
      </c>
      <c r="G178" s="179">
        <v>0</v>
      </c>
      <c r="H178" s="179"/>
      <c r="I178" s="179"/>
      <c r="J178" s="191">
        <v>0</v>
      </c>
      <c r="K178" s="191">
        <v>0</v>
      </c>
      <c r="L178" s="185" t="s">
        <v>315</v>
      </c>
      <c r="N178" s="192" t="s">
        <v>121</v>
      </c>
      <c r="O178" t="s">
        <v>320</v>
      </c>
      <c r="P178" t="s">
        <v>317</v>
      </c>
    </row>
    <row r="179" spans="2:16" ht="16.5" hidden="1" customHeight="1">
      <c r="B179" t="str">
        <f t="shared" si="16"/>
        <v>211013</v>
      </c>
      <c r="C179" s="179">
        <v>211013001017</v>
      </c>
      <c r="D179" t="s">
        <v>332</v>
      </c>
      <c r="E179" s="179"/>
      <c r="F179" s="179">
        <v>0</v>
      </c>
      <c r="G179" s="179">
        <v>0</v>
      </c>
      <c r="H179" s="179"/>
      <c r="I179" s="179"/>
      <c r="J179" s="191">
        <v>0</v>
      </c>
      <c r="K179" s="191">
        <v>0</v>
      </c>
      <c r="L179" s="185" t="s">
        <v>315</v>
      </c>
      <c r="N179" s="192" t="s">
        <v>121</v>
      </c>
      <c r="O179" t="s">
        <v>320</v>
      </c>
      <c r="P179" t="s">
        <v>317</v>
      </c>
    </row>
    <row r="180" spans="2:16" ht="16.5" hidden="1" customHeight="1">
      <c r="B180" t="str">
        <f t="shared" si="16"/>
        <v>211013</v>
      </c>
      <c r="C180" s="179">
        <v>211013001020</v>
      </c>
      <c r="D180" t="s">
        <v>333</v>
      </c>
      <c r="E180" s="179"/>
      <c r="F180" s="179">
        <v>0</v>
      </c>
      <c r="G180" s="179">
        <v>0</v>
      </c>
      <c r="H180" s="179"/>
      <c r="I180" s="179"/>
      <c r="J180" s="191">
        <v>0</v>
      </c>
      <c r="K180" s="191">
        <v>0</v>
      </c>
      <c r="L180" s="185" t="s">
        <v>315</v>
      </c>
      <c r="N180" s="192" t="s">
        <v>121</v>
      </c>
      <c r="O180" t="s">
        <v>320</v>
      </c>
      <c r="P180" t="s">
        <v>317</v>
      </c>
    </row>
    <row r="181" spans="2:16" ht="16.5" hidden="1" customHeight="1">
      <c r="B181" t="str">
        <f t="shared" si="16"/>
        <v>211013</v>
      </c>
      <c r="C181" s="179">
        <v>211013001022</v>
      </c>
      <c r="D181" t="s">
        <v>334</v>
      </c>
      <c r="E181" s="179"/>
      <c r="F181" s="179">
        <v>-11881.41</v>
      </c>
      <c r="G181" s="179">
        <v>0</v>
      </c>
      <c r="H181" s="179"/>
      <c r="I181" s="179"/>
      <c r="J181" s="191">
        <v>0</v>
      </c>
      <c r="K181" s="191">
        <v>0</v>
      </c>
      <c r="L181" s="185" t="s">
        <v>315</v>
      </c>
      <c r="N181" s="192" t="s">
        <v>121</v>
      </c>
      <c r="O181" t="s">
        <v>320</v>
      </c>
      <c r="P181" t="s">
        <v>317</v>
      </c>
    </row>
    <row r="182" spans="2:16" ht="16.5" hidden="1" customHeight="1">
      <c r="B182" t="str">
        <f t="shared" si="16"/>
        <v>211013</v>
      </c>
      <c r="C182" s="179">
        <v>211013001024</v>
      </c>
      <c r="D182" t="s">
        <v>335</v>
      </c>
      <c r="E182" s="179"/>
      <c r="F182" s="179">
        <v>-59</v>
      </c>
      <c r="G182" s="179">
        <v>0</v>
      </c>
      <c r="H182" s="179"/>
      <c r="I182" s="179"/>
      <c r="J182" s="191">
        <v>0</v>
      </c>
      <c r="K182" s="191">
        <v>0</v>
      </c>
      <c r="L182" s="185" t="s">
        <v>315</v>
      </c>
      <c r="N182" s="192" t="s">
        <v>121</v>
      </c>
      <c r="O182" t="s">
        <v>320</v>
      </c>
      <c r="P182" t="s">
        <v>317</v>
      </c>
    </row>
    <row r="183" spans="2:16" ht="16.5" hidden="1" customHeight="1">
      <c r="B183" t="str">
        <f t="shared" si="16"/>
        <v>211013</v>
      </c>
      <c r="C183" s="179">
        <v>211013001025</v>
      </c>
      <c r="D183" t="s">
        <v>336</v>
      </c>
      <c r="E183" s="179"/>
      <c r="F183" s="179">
        <v>-3940</v>
      </c>
      <c r="G183" s="179">
        <v>0</v>
      </c>
      <c r="H183" s="179"/>
      <c r="I183" s="179"/>
      <c r="J183" s="191">
        <v>0</v>
      </c>
      <c r="K183" s="191">
        <v>0</v>
      </c>
      <c r="L183" s="185" t="s">
        <v>315</v>
      </c>
      <c r="N183" s="192" t="s">
        <v>121</v>
      </c>
      <c r="O183" t="s">
        <v>320</v>
      </c>
      <c r="P183" t="s">
        <v>317</v>
      </c>
    </row>
    <row r="184" spans="2:16" ht="16.5" hidden="1" customHeight="1">
      <c r="B184" t="str">
        <f t="shared" si="16"/>
        <v>211013</v>
      </c>
      <c r="C184" s="179">
        <v>211013001026</v>
      </c>
      <c r="D184" t="s">
        <v>337</v>
      </c>
      <c r="E184" s="179"/>
      <c r="F184" s="179">
        <v>-1280</v>
      </c>
      <c r="G184" s="179">
        <v>0</v>
      </c>
      <c r="H184" s="179"/>
      <c r="I184" s="179"/>
      <c r="J184" s="191">
        <v>0</v>
      </c>
      <c r="K184" s="191">
        <v>0</v>
      </c>
      <c r="L184" s="185" t="s">
        <v>315</v>
      </c>
      <c r="N184" s="192" t="s">
        <v>121</v>
      </c>
      <c r="O184" t="s">
        <v>320</v>
      </c>
      <c r="P184" t="s">
        <v>317</v>
      </c>
    </row>
    <row r="185" spans="2:16" ht="16.5" hidden="1" customHeight="1">
      <c r="B185" t="str">
        <f t="shared" si="16"/>
        <v>211013</v>
      </c>
      <c r="C185" s="179">
        <v>211013001030</v>
      </c>
      <c r="D185" t="s">
        <v>338</v>
      </c>
      <c r="E185" s="179"/>
      <c r="F185" s="179">
        <v>0</v>
      </c>
      <c r="G185" s="179">
        <v>0</v>
      </c>
      <c r="H185" s="179"/>
      <c r="I185" s="179"/>
      <c r="J185" s="191">
        <v>0</v>
      </c>
      <c r="K185" s="191">
        <v>0</v>
      </c>
      <c r="L185" s="185" t="s">
        <v>315</v>
      </c>
      <c r="N185" s="192" t="s">
        <v>121</v>
      </c>
      <c r="O185" t="s">
        <v>320</v>
      </c>
      <c r="P185" t="s">
        <v>317</v>
      </c>
    </row>
    <row r="186" spans="2:16" ht="16.5" hidden="1" customHeight="1">
      <c r="B186" t="str">
        <f t="shared" si="16"/>
        <v>211013</v>
      </c>
      <c r="C186" s="179">
        <v>211013001031</v>
      </c>
      <c r="D186" t="s">
        <v>339</v>
      </c>
      <c r="E186" s="179"/>
      <c r="F186" s="179">
        <v>-3179.63</v>
      </c>
      <c r="G186" s="179">
        <v>0</v>
      </c>
      <c r="H186" s="179"/>
      <c r="I186" s="179"/>
      <c r="J186" s="191">
        <v>0</v>
      </c>
      <c r="K186" s="191">
        <v>0</v>
      </c>
      <c r="L186" s="185" t="s">
        <v>315</v>
      </c>
      <c r="N186" s="192" t="s">
        <v>121</v>
      </c>
      <c r="O186" t="s">
        <v>320</v>
      </c>
      <c r="P186" t="s">
        <v>340</v>
      </c>
    </row>
    <row r="187" spans="2:16" ht="16.5" hidden="1" customHeight="1">
      <c r="B187" t="str">
        <f t="shared" si="16"/>
        <v>211013</v>
      </c>
      <c r="C187" s="179">
        <v>211013001034</v>
      </c>
      <c r="D187" t="s">
        <v>341</v>
      </c>
      <c r="E187" s="179"/>
      <c r="F187" s="179">
        <v>-13250.86</v>
      </c>
      <c r="G187" s="179">
        <v>0</v>
      </c>
      <c r="H187" s="179"/>
      <c r="I187" s="179"/>
      <c r="J187" s="191">
        <v>0</v>
      </c>
      <c r="K187" s="191">
        <v>0</v>
      </c>
      <c r="L187" s="185" t="s">
        <v>315</v>
      </c>
      <c r="N187" s="192" t="s">
        <v>121</v>
      </c>
      <c r="O187" t="s">
        <v>320</v>
      </c>
      <c r="P187" t="s">
        <v>317</v>
      </c>
    </row>
    <row r="188" spans="2:16" ht="16.5" hidden="1" customHeight="1">
      <c r="B188" t="str">
        <f t="shared" si="16"/>
        <v>211013</v>
      </c>
      <c r="C188" s="179">
        <v>211013001037</v>
      </c>
      <c r="D188" t="s">
        <v>342</v>
      </c>
      <c r="E188" s="179"/>
      <c r="F188" s="179">
        <v>0</v>
      </c>
      <c r="G188" s="179">
        <v>0</v>
      </c>
      <c r="H188" s="179"/>
      <c r="I188" s="179"/>
      <c r="J188" s="191">
        <v>0</v>
      </c>
      <c r="K188" s="191">
        <v>0</v>
      </c>
      <c r="L188" s="185" t="s">
        <v>315</v>
      </c>
      <c r="N188" s="192" t="s">
        <v>121</v>
      </c>
      <c r="O188" t="s">
        <v>320</v>
      </c>
      <c r="P188" t="s">
        <v>317</v>
      </c>
    </row>
    <row r="189" spans="2:16" ht="16.5" hidden="1" customHeight="1">
      <c r="B189" t="str">
        <f t="shared" si="16"/>
        <v>211013</v>
      </c>
      <c r="C189" s="179">
        <v>211013001038</v>
      </c>
      <c r="D189" t="s">
        <v>343</v>
      </c>
      <c r="E189" s="179"/>
      <c r="F189" s="179">
        <v>-9641252.7100000009</v>
      </c>
      <c r="G189" s="179">
        <v>0</v>
      </c>
      <c r="H189" s="179"/>
      <c r="I189" s="179"/>
      <c r="J189" s="191">
        <v>0</v>
      </c>
      <c r="K189" s="191">
        <v>0</v>
      </c>
      <c r="L189" s="185" t="s">
        <v>315</v>
      </c>
      <c r="N189" s="192" t="s">
        <v>121</v>
      </c>
      <c r="O189" t="s">
        <v>320</v>
      </c>
      <c r="P189" t="s">
        <v>317</v>
      </c>
    </row>
    <row r="190" spans="2:16" ht="16.5" hidden="1" customHeight="1">
      <c r="B190" t="str">
        <f t="shared" si="16"/>
        <v>211013</v>
      </c>
      <c r="C190" s="179">
        <v>211013001040</v>
      </c>
      <c r="D190" t="s">
        <v>344</v>
      </c>
      <c r="E190" s="179"/>
      <c r="F190" s="179">
        <v>-1778.34</v>
      </c>
      <c r="G190" s="179">
        <v>0</v>
      </c>
      <c r="H190" s="179"/>
      <c r="I190" s="179"/>
      <c r="J190" s="191">
        <v>0</v>
      </c>
      <c r="K190" s="191">
        <v>0</v>
      </c>
      <c r="L190" s="185" t="s">
        <v>315</v>
      </c>
      <c r="N190" s="192" t="s">
        <v>121</v>
      </c>
      <c r="O190" t="s">
        <v>320</v>
      </c>
      <c r="P190" t="s">
        <v>317</v>
      </c>
    </row>
    <row r="191" spans="2:16" ht="16.5" hidden="1" customHeight="1">
      <c r="B191" t="str">
        <f t="shared" si="16"/>
        <v>211013</v>
      </c>
      <c r="C191" s="179">
        <v>211013001041</v>
      </c>
      <c r="D191" t="s">
        <v>345</v>
      </c>
      <c r="E191" s="179"/>
      <c r="F191" s="179">
        <v>0</v>
      </c>
      <c r="G191" s="179">
        <v>0</v>
      </c>
      <c r="H191" s="179"/>
      <c r="I191" s="179"/>
      <c r="J191" s="191">
        <v>0</v>
      </c>
      <c r="K191" s="191">
        <v>0</v>
      </c>
      <c r="L191" s="185" t="s">
        <v>315</v>
      </c>
      <c r="N191" s="192" t="s">
        <v>121</v>
      </c>
      <c r="O191" t="s">
        <v>320</v>
      </c>
      <c r="P191" t="s">
        <v>317</v>
      </c>
    </row>
    <row r="192" spans="2:16" ht="16.5" hidden="1" customHeight="1">
      <c r="B192" t="str">
        <f t="shared" si="16"/>
        <v>211013</v>
      </c>
      <c r="C192" s="179">
        <v>211013001044</v>
      </c>
      <c r="D192" t="s">
        <v>346</v>
      </c>
      <c r="E192" s="179"/>
      <c r="F192" s="179">
        <v>-586.32000000000005</v>
      </c>
      <c r="G192" s="179">
        <v>0</v>
      </c>
      <c r="H192" s="179"/>
      <c r="I192" s="179"/>
      <c r="J192" s="191">
        <v>0</v>
      </c>
      <c r="K192" s="191">
        <v>0</v>
      </c>
      <c r="L192" s="185" t="s">
        <v>315</v>
      </c>
      <c r="N192" s="192" t="s">
        <v>121</v>
      </c>
      <c r="O192" t="s">
        <v>320</v>
      </c>
      <c r="P192" t="s">
        <v>317</v>
      </c>
    </row>
    <row r="193" spans="2:16" ht="16.5" hidden="1" customHeight="1">
      <c r="B193" t="str">
        <f t="shared" si="16"/>
        <v>211013</v>
      </c>
      <c r="C193" s="179">
        <v>211013001045</v>
      </c>
      <c r="D193" t="s">
        <v>347</v>
      </c>
      <c r="E193" s="179"/>
      <c r="F193" s="179">
        <v>0</v>
      </c>
      <c r="G193" s="179">
        <v>0</v>
      </c>
      <c r="H193" s="179"/>
      <c r="I193" s="179"/>
      <c r="J193" s="191">
        <v>0</v>
      </c>
      <c r="K193" s="191">
        <v>0</v>
      </c>
      <c r="L193" s="185" t="s">
        <v>315</v>
      </c>
      <c r="N193" s="192" t="s">
        <v>121</v>
      </c>
      <c r="O193" t="s">
        <v>320</v>
      </c>
      <c r="P193" t="s">
        <v>317</v>
      </c>
    </row>
    <row r="194" spans="2:16" ht="16.5" hidden="1" customHeight="1">
      <c r="B194" t="str">
        <f t="shared" si="16"/>
        <v>211013</v>
      </c>
      <c r="C194" s="179">
        <v>211013001046</v>
      </c>
      <c r="D194" t="s">
        <v>348</v>
      </c>
      <c r="E194" s="179"/>
      <c r="F194" s="179">
        <v>0</v>
      </c>
      <c r="G194" s="179">
        <v>0</v>
      </c>
      <c r="H194" s="179"/>
      <c r="I194" s="179"/>
      <c r="J194" s="191">
        <v>0</v>
      </c>
      <c r="K194" s="191">
        <v>0</v>
      </c>
      <c r="L194" s="185" t="s">
        <v>315</v>
      </c>
      <c r="N194" s="192" t="s">
        <v>121</v>
      </c>
      <c r="O194" t="s">
        <v>320</v>
      </c>
      <c r="P194" t="s">
        <v>317</v>
      </c>
    </row>
    <row r="195" spans="2:16" ht="16.5" hidden="1" customHeight="1">
      <c r="B195" t="str">
        <f t="shared" si="16"/>
        <v>211013</v>
      </c>
      <c r="C195" s="179">
        <v>211013001047</v>
      </c>
      <c r="D195" t="s">
        <v>349</v>
      </c>
      <c r="E195" s="179"/>
      <c r="F195" s="179">
        <v>0</v>
      </c>
      <c r="G195" s="179">
        <v>0</v>
      </c>
      <c r="H195" s="179"/>
      <c r="I195" s="179"/>
      <c r="J195" s="191">
        <v>0</v>
      </c>
      <c r="K195" s="191">
        <v>0</v>
      </c>
      <c r="L195" s="185" t="s">
        <v>315</v>
      </c>
      <c r="N195" s="192" t="s">
        <v>121</v>
      </c>
      <c r="O195" t="s">
        <v>320</v>
      </c>
      <c r="P195" t="s">
        <v>317</v>
      </c>
    </row>
    <row r="196" spans="2:16" ht="16.5" hidden="1" customHeight="1">
      <c r="B196" t="str">
        <f t="shared" si="16"/>
        <v>211013</v>
      </c>
      <c r="C196" s="179">
        <v>211013001048</v>
      </c>
      <c r="D196" t="s">
        <v>350</v>
      </c>
      <c r="E196" s="179"/>
      <c r="F196" s="179">
        <v>-6.8</v>
      </c>
      <c r="G196" s="179">
        <v>0</v>
      </c>
      <c r="H196" s="179"/>
      <c r="I196" s="179"/>
      <c r="J196" s="191">
        <v>0</v>
      </c>
      <c r="K196" s="191">
        <v>0</v>
      </c>
      <c r="L196" s="185" t="s">
        <v>315</v>
      </c>
      <c r="N196" s="192" t="s">
        <v>121</v>
      </c>
      <c r="O196" t="s">
        <v>320</v>
      </c>
      <c r="P196" t="s">
        <v>317</v>
      </c>
    </row>
    <row r="197" spans="2:16" ht="16.5" hidden="1" customHeight="1">
      <c r="B197" t="str">
        <f t="shared" si="16"/>
        <v>211013</v>
      </c>
      <c r="C197" s="179">
        <v>211013001049</v>
      </c>
      <c r="D197" t="s">
        <v>351</v>
      </c>
      <c r="E197" s="179"/>
      <c r="F197" s="179">
        <v>0</v>
      </c>
      <c r="G197" s="179">
        <v>0</v>
      </c>
      <c r="H197" s="179"/>
      <c r="I197" s="179"/>
      <c r="J197" s="191">
        <v>0</v>
      </c>
      <c r="K197" s="191">
        <v>0</v>
      </c>
      <c r="L197" s="185" t="s">
        <v>315</v>
      </c>
      <c r="N197" s="192" t="s">
        <v>121</v>
      </c>
      <c r="O197" t="s">
        <v>320</v>
      </c>
      <c r="P197" t="s">
        <v>317</v>
      </c>
    </row>
    <row r="198" spans="2:16" ht="16.5" hidden="1" customHeight="1">
      <c r="B198" t="str">
        <f t="shared" si="16"/>
        <v>211013</v>
      </c>
      <c r="C198" s="179">
        <v>211013001051</v>
      </c>
      <c r="D198" t="s">
        <v>352</v>
      </c>
      <c r="E198" s="179"/>
      <c r="F198" s="179">
        <v>0</v>
      </c>
      <c r="G198" s="179">
        <v>0</v>
      </c>
      <c r="H198" s="179"/>
      <c r="I198" s="179"/>
      <c r="J198" s="191">
        <v>0</v>
      </c>
      <c r="K198" s="191">
        <v>0</v>
      </c>
      <c r="L198" s="185" t="s">
        <v>315</v>
      </c>
      <c r="N198" s="192" t="s">
        <v>121</v>
      </c>
      <c r="O198" t="s">
        <v>320</v>
      </c>
      <c r="P198" t="s">
        <v>317</v>
      </c>
    </row>
    <row r="199" spans="2:16" ht="16.5" hidden="1" customHeight="1">
      <c r="B199" t="str">
        <f t="shared" si="16"/>
        <v>211013</v>
      </c>
      <c r="C199" s="179">
        <v>211013001056</v>
      </c>
      <c r="D199" t="s">
        <v>353</v>
      </c>
      <c r="E199" s="179"/>
      <c r="F199" s="179">
        <v>0</v>
      </c>
      <c r="G199" s="179">
        <v>0</v>
      </c>
      <c r="H199" s="179"/>
      <c r="I199" s="179"/>
      <c r="J199" s="191">
        <v>0</v>
      </c>
      <c r="K199" s="191">
        <v>0</v>
      </c>
      <c r="L199" s="185" t="s">
        <v>315</v>
      </c>
      <c r="N199" s="192" t="s">
        <v>121</v>
      </c>
      <c r="O199" t="s">
        <v>320</v>
      </c>
      <c r="P199" t="s">
        <v>317</v>
      </c>
    </row>
    <row r="200" spans="2:16" ht="16.5" hidden="1" customHeight="1">
      <c r="B200" t="str">
        <f t="shared" si="16"/>
        <v>211013</v>
      </c>
      <c r="C200" s="179">
        <v>211013001071</v>
      </c>
      <c r="D200" t="s">
        <v>354</v>
      </c>
      <c r="E200" s="179"/>
      <c r="F200" s="179">
        <v>-50</v>
      </c>
      <c r="G200" s="179">
        <v>0</v>
      </c>
      <c r="H200" s="179"/>
      <c r="I200" s="179"/>
      <c r="J200" s="191">
        <v>0</v>
      </c>
      <c r="K200" s="191">
        <v>0</v>
      </c>
      <c r="L200" s="185" t="s">
        <v>315</v>
      </c>
      <c r="N200" s="192" t="s">
        <v>121</v>
      </c>
      <c r="O200" t="s">
        <v>320</v>
      </c>
      <c r="P200" t="s">
        <v>317</v>
      </c>
    </row>
    <row r="201" spans="2:16" ht="16.5" hidden="1" customHeight="1">
      <c r="B201" t="str">
        <f t="shared" si="16"/>
        <v>211013</v>
      </c>
      <c r="C201" s="179">
        <v>211013001073</v>
      </c>
      <c r="D201" t="s">
        <v>355</v>
      </c>
      <c r="E201" s="179"/>
      <c r="F201" s="179">
        <v>0</v>
      </c>
      <c r="G201" s="179">
        <v>0</v>
      </c>
      <c r="H201" s="179"/>
      <c r="I201" s="179"/>
      <c r="J201" s="191">
        <v>0</v>
      </c>
      <c r="K201" s="191">
        <v>0</v>
      </c>
      <c r="L201" s="185" t="s">
        <v>315</v>
      </c>
      <c r="N201" s="192" t="s">
        <v>121</v>
      </c>
      <c r="O201" t="s">
        <v>320</v>
      </c>
      <c r="P201" t="s">
        <v>317</v>
      </c>
    </row>
    <row r="202" spans="2:16" ht="16.5" hidden="1" customHeight="1">
      <c r="B202" t="str">
        <f t="shared" si="16"/>
        <v>211013</v>
      </c>
      <c r="C202" s="179">
        <v>211013001083</v>
      </c>
      <c r="D202" t="s">
        <v>356</v>
      </c>
      <c r="E202" s="179"/>
      <c r="F202" s="179">
        <v>0</v>
      </c>
      <c r="G202" s="179">
        <v>0</v>
      </c>
      <c r="H202" s="179"/>
      <c r="I202" s="179"/>
      <c r="J202" s="191">
        <v>0</v>
      </c>
      <c r="K202" s="191">
        <v>0</v>
      </c>
      <c r="L202" s="185" t="s">
        <v>315</v>
      </c>
      <c r="N202" s="192" t="s">
        <v>121</v>
      </c>
      <c r="O202" t="s">
        <v>320</v>
      </c>
      <c r="P202" t="s">
        <v>317</v>
      </c>
    </row>
    <row r="203" spans="2:16" ht="16.5" hidden="1" customHeight="1">
      <c r="B203" t="str">
        <f t="shared" si="16"/>
        <v>211013</v>
      </c>
      <c r="C203" s="179">
        <v>211013001086</v>
      </c>
      <c r="D203" t="s">
        <v>357</v>
      </c>
      <c r="E203" s="179"/>
      <c r="F203" s="179">
        <v>0</v>
      </c>
      <c r="G203" s="179">
        <v>0</v>
      </c>
      <c r="H203" s="179"/>
      <c r="I203" s="179"/>
      <c r="J203" s="191">
        <v>0</v>
      </c>
      <c r="K203" s="191">
        <v>0</v>
      </c>
      <c r="L203" s="185" t="s">
        <v>315</v>
      </c>
      <c r="N203" s="192" t="s">
        <v>121</v>
      </c>
      <c r="O203" t="s">
        <v>320</v>
      </c>
      <c r="P203" t="s">
        <v>317</v>
      </c>
    </row>
    <row r="204" spans="2:16" ht="16.5" hidden="1" customHeight="1">
      <c r="B204" t="str">
        <f t="shared" si="16"/>
        <v>211013</v>
      </c>
      <c r="C204" s="179">
        <v>211013001092</v>
      </c>
      <c r="D204" t="s">
        <v>358</v>
      </c>
      <c r="E204" s="179"/>
      <c r="F204" s="179">
        <v>-3968.67</v>
      </c>
      <c r="G204" s="179">
        <v>0</v>
      </c>
      <c r="H204" s="179"/>
      <c r="I204" s="179"/>
      <c r="J204" s="191">
        <v>0</v>
      </c>
      <c r="K204" s="191">
        <v>0</v>
      </c>
      <c r="L204" s="185" t="s">
        <v>315</v>
      </c>
      <c r="N204" s="192" t="s">
        <v>121</v>
      </c>
      <c r="O204" t="s">
        <v>320</v>
      </c>
      <c r="P204" t="s">
        <v>317</v>
      </c>
    </row>
    <row r="205" spans="2:16" ht="16.5" hidden="1" customHeight="1">
      <c r="B205" t="str">
        <f t="shared" si="16"/>
        <v>211013</v>
      </c>
      <c r="C205" s="179">
        <v>211013001096</v>
      </c>
      <c r="D205" t="s">
        <v>359</v>
      </c>
      <c r="E205" s="179"/>
      <c r="F205" s="179">
        <v>0</v>
      </c>
      <c r="G205" s="179">
        <v>0</v>
      </c>
      <c r="H205" s="179"/>
      <c r="I205" s="179"/>
      <c r="J205" s="191">
        <v>0</v>
      </c>
      <c r="K205" s="191">
        <v>0</v>
      </c>
      <c r="L205" s="185" t="s">
        <v>315</v>
      </c>
      <c r="N205" s="192" t="s">
        <v>121</v>
      </c>
      <c r="O205" t="s">
        <v>320</v>
      </c>
      <c r="P205" t="s">
        <v>317</v>
      </c>
    </row>
    <row r="206" spans="2:16" ht="16.5" hidden="1" customHeight="1">
      <c r="B206" t="str">
        <f t="shared" si="16"/>
        <v>211013</v>
      </c>
      <c r="C206" s="179">
        <v>211013001128</v>
      </c>
      <c r="D206" t="s">
        <v>360</v>
      </c>
      <c r="E206" s="179"/>
      <c r="F206" s="179">
        <v>0</v>
      </c>
      <c r="G206" s="179">
        <v>0</v>
      </c>
      <c r="H206" s="179"/>
      <c r="I206" s="179"/>
      <c r="J206" s="191">
        <v>0</v>
      </c>
      <c r="K206" s="191">
        <v>0</v>
      </c>
      <c r="L206" s="185" t="s">
        <v>315</v>
      </c>
      <c r="N206" s="192" t="s">
        <v>121</v>
      </c>
      <c r="O206" t="s">
        <v>320</v>
      </c>
      <c r="P206" t="s">
        <v>317</v>
      </c>
    </row>
    <row r="207" spans="2:16" ht="16.5" hidden="1" customHeight="1">
      <c r="B207" t="str">
        <f t="shared" si="16"/>
        <v>211013</v>
      </c>
      <c r="C207" s="179">
        <v>211013001143</v>
      </c>
      <c r="D207" t="s">
        <v>361</v>
      </c>
      <c r="E207" s="179"/>
      <c r="F207" s="179">
        <v>-553777.92000000004</v>
      </c>
      <c r="G207" s="179">
        <v>0</v>
      </c>
      <c r="H207" s="179"/>
      <c r="I207" s="179"/>
      <c r="J207" s="191">
        <v>0</v>
      </c>
      <c r="K207" s="191">
        <v>0</v>
      </c>
      <c r="L207" s="185" t="s">
        <v>315</v>
      </c>
      <c r="N207" s="192" t="s">
        <v>121</v>
      </c>
      <c r="O207" t="s">
        <v>320</v>
      </c>
      <c r="P207" t="s">
        <v>317</v>
      </c>
    </row>
    <row r="208" spans="2:16" ht="16.5" hidden="1" customHeight="1">
      <c r="B208" t="str">
        <f t="shared" si="16"/>
        <v>211013</v>
      </c>
      <c r="C208" s="179">
        <v>211013001144</v>
      </c>
      <c r="D208" t="s">
        <v>362</v>
      </c>
      <c r="E208" s="179"/>
      <c r="F208" s="179">
        <v>0</v>
      </c>
      <c r="G208" s="179">
        <v>0</v>
      </c>
      <c r="H208" s="179"/>
      <c r="I208" s="179"/>
      <c r="J208" s="191">
        <v>0</v>
      </c>
      <c r="K208" s="191">
        <v>0</v>
      </c>
      <c r="L208" s="185" t="s">
        <v>315</v>
      </c>
      <c r="N208" s="192" t="s">
        <v>121</v>
      </c>
      <c r="O208" t="s">
        <v>320</v>
      </c>
      <c r="P208" t="s">
        <v>317</v>
      </c>
    </row>
    <row r="209" spans="2:16" ht="16.5" hidden="1" customHeight="1">
      <c r="B209" t="str">
        <f t="shared" si="16"/>
        <v>211013</v>
      </c>
      <c r="C209" s="179">
        <v>211013001154</v>
      </c>
      <c r="D209" t="s">
        <v>363</v>
      </c>
      <c r="E209" s="179"/>
      <c r="F209" s="179">
        <v>0</v>
      </c>
      <c r="G209" s="179">
        <v>0</v>
      </c>
      <c r="H209" s="179"/>
      <c r="I209" s="179"/>
      <c r="J209" s="191">
        <v>0</v>
      </c>
      <c r="K209" s="191">
        <v>0</v>
      </c>
      <c r="L209" s="185" t="s">
        <v>315</v>
      </c>
      <c r="N209" s="192" t="s">
        <v>121</v>
      </c>
      <c r="O209" t="s">
        <v>320</v>
      </c>
      <c r="P209" t="s">
        <v>364</v>
      </c>
    </row>
    <row r="210" spans="2:16" ht="16.5" hidden="1" customHeight="1">
      <c r="B210" t="str">
        <f t="shared" si="16"/>
        <v>211013</v>
      </c>
      <c r="C210" s="179">
        <v>211013001168</v>
      </c>
      <c r="D210" t="s">
        <v>365</v>
      </c>
      <c r="E210" s="179"/>
      <c r="F210" s="179">
        <v>0</v>
      </c>
      <c r="G210" s="179">
        <v>0</v>
      </c>
      <c r="H210" s="179"/>
      <c r="I210" s="179"/>
      <c r="J210" s="191">
        <v>0</v>
      </c>
      <c r="K210" s="191">
        <v>0</v>
      </c>
      <c r="L210" s="185" t="s">
        <v>315</v>
      </c>
      <c r="N210" s="192" t="s">
        <v>121</v>
      </c>
      <c r="O210" t="s">
        <v>320</v>
      </c>
      <c r="P210" t="s">
        <v>317</v>
      </c>
    </row>
    <row r="211" spans="2:16" ht="16.5" hidden="1" customHeight="1">
      <c r="B211" t="str">
        <f t="shared" si="16"/>
        <v>211013</v>
      </c>
      <c r="C211" s="179">
        <v>211013001171</v>
      </c>
      <c r="D211" t="s">
        <v>366</v>
      </c>
      <c r="E211" s="179"/>
      <c r="F211" s="179">
        <v>-6274.17</v>
      </c>
      <c r="G211" s="179">
        <v>0</v>
      </c>
      <c r="H211" s="179"/>
      <c r="I211" s="179"/>
      <c r="J211" s="191">
        <v>0</v>
      </c>
      <c r="K211" s="191">
        <v>0</v>
      </c>
      <c r="L211" s="185" t="s">
        <v>315</v>
      </c>
      <c r="N211" s="192" t="s">
        <v>121</v>
      </c>
      <c r="O211" t="s">
        <v>320</v>
      </c>
      <c r="P211" t="s">
        <v>317</v>
      </c>
    </row>
    <row r="212" spans="2:16" ht="16.5" hidden="1" customHeight="1">
      <c r="B212" t="str">
        <f t="shared" si="16"/>
        <v>211013</v>
      </c>
      <c r="C212" s="179">
        <v>211013001184</v>
      </c>
      <c r="D212" t="s">
        <v>367</v>
      </c>
      <c r="E212" s="179"/>
      <c r="F212" s="179">
        <v>-4232575.5999999996</v>
      </c>
      <c r="G212" s="179">
        <v>0</v>
      </c>
      <c r="H212" s="179"/>
      <c r="I212" s="179"/>
      <c r="J212" s="191">
        <v>0</v>
      </c>
      <c r="K212" s="191">
        <v>0</v>
      </c>
      <c r="L212" s="185" t="s">
        <v>315</v>
      </c>
      <c r="N212" s="192" t="s">
        <v>121</v>
      </c>
      <c r="O212" t="s">
        <v>320</v>
      </c>
      <c r="P212" t="s">
        <v>317</v>
      </c>
    </row>
    <row r="213" spans="2:16" ht="16.5" hidden="1" customHeight="1">
      <c r="B213" t="str">
        <f t="shared" si="16"/>
        <v>211013</v>
      </c>
      <c r="C213" s="179">
        <v>211013001186</v>
      </c>
      <c r="D213" t="s">
        <v>368</v>
      </c>
      <c r="E213" s="179"/>
      <c r="F213" s="179">
        <v>0</v>
      </c>
      <c r="G213" s="179">
        <v>0</v>
      </c>
      <c r="H213" s="179"/>
      <c r="I213" s="179"/>
      <c r="J213" s="191">
        <v>0</v>
      </c>
      <c r="K213" s="191">
        <v>0</v>
      </c>
      <c r="L213" s="185" t="s">
        <v>315</v>
      </c>
      <c r="N213" s="192" t="s">
        <v>121</v>
      </c>
      <c r="O213" t="s">
        <v>320</v>
      </c>
      <c r="P213" t="s">
        <v>317</v>
      </c>
    </row>
    <row r="214" spans="2:16" ht="16.5" hidden="1" customHeight="1">
      <c r="B214" t="str">
        <f t="shared" si="16"/>
        <v>211013</v>
      </c>
      <c r="C214" s="179">
        <v>211013001188</v>
      </c>
      <c r="D214" t="s">
        <v>369</v>
      </c>
      <c r="E214" s="179"/>
      <c r="F214" s="179">
        <v>0</v>
      </c>
      <c r="G214" s="179">
        <v>0</v>
      </c>
      <c r="H214" s="179"/>
      <c r="I214" s="179"/>
      <c r="J214" s="191">
        <v>0</v>
      </c>
      <c r="K214" s="191">
        <v>0</v>
      </c>
      <c r="L214" s="185" t="s">
        <v>315</v>
      </c>
      <c r="N214" s="192" t="s">
        <v>121</v>
      </c>
      <c r="O214" t="s">
        <v>320</v>
      </c>
      <c r="P214" t="s">
        <v>317</v>
      </c>
    </row>
    <row r="215" spans="2:16" ht="16.5" hidden="1" customHeight="1">
      <c r="B215" t="str">
        <f t="shared" si="16"/>
        <v>211013</v>
      </c>
      <c r="C215" s="179">
        <v>211013001189</v>
      </c>
      <c r="D215" t="s">
        <v>370</v>
      </c>
      <c r="E215" s="179"/>
      <c r="F215" s="179">
        <v>0</v>
      </c>
      <c r="G215" s="179">
        <v>0</v>
      </c>
      <c r="H215" s="179"/>
      <c r="I215" s="179"/>
      <c r="J215" s="191">
        <v>0</v>
      </c>
      <c r="K215" s="191">
        <v>0</v>
      </c>
      <c r="L215" s="185" t="s">
        <v>315</v>
      </c>
      <c r="N215" s="192" t="s">
        <v>121</v>
      </c>
      <c r="O215" t="s">
        <v>320</v>
      </c>
      <c r="P215" t="s">
        <v>317</v>
      </c>
    </row>
    <row r="216" spans="2:16" ht="16.5" hidden="1" customHeight="1">
      <c r="B216" t="str">
        <f t="shared" si="16"/>
        <v>211013</v>
      </c>
      <c r="C216" s="179">
        <v>211013001193</v>
      </c>
      <c r="D216" t="s">
        <v>371</v>
      </c>
      <c r="E216" s="179"/>
      <c r="F216" s="179">
        <v>0</v>
      </c>
      <c r="G216" s="179">
        <v>0</v>
      </c>
      <c r="H216" s="179"/>
      <c r="I216" s="179"/>
      <c r="J216" s="191">
        <v>0</v>
      </c>
      <c r="K216" s="191">
        <v>0</v>
      </c>
      <c r="L216" s="185" t="s">
        <v>315</v>
      </c>
      <c r="N216" s="192" t="s">
        <v>121</v>
      </c>
      <c r="O216" t="s">
        <v>320</v>
      </c>
      <c r="P216" t="s">
        <v>317</v>
      </c>
    </row>
    <row r="217" spans="2:16" ht="16.5" hidden="1" customHeight="1">
      <c r="B217" t="str">
        <f t="shared" si="16"/>
        <v>211013</v>
      </c>
      <c r="C217" s="179">
        <v>211013001202</v>
      </c>
      <c r="D217" t="s">
        <v>372</v>
      </c>
      <c r="E217" s="179"/>
      <c r="F217" s="179">
        <v>0</v>
      </c>
      <c r="G217" s="179">
        <v>0</v>
      </c>
      <c r="H217" s="179"/>
      <c r="I217" s="179"/>
      <c r="J217" s="191">
        <v>0</v>
      </c>
      <c r="K217" s="191">
        <v>0</v>
      </c>
      <c r="L217" s="185" t="s">
        <v>315</v>
      </c>
      <c r="N217" s="192" t="s">
        <v>121</v>
      </c>
      <c r="O217" t="s">
        <v>320</v>
      </c>
      <c r="P217" t="s">
        <v>317</v>
      </c>
    </row>
    <row r="218" spans="2:16" ht="16.5" hidden="1" customHeight="1">
      <c r="B218" t="str">
        <f t="shared" si="16"/>
        <v>211013</v>
      </c>
      <c r="C218" s="179">
        <v>211013001206</v>
      </c>
      <c r="D218" t="s">
        <v>373</v>
      </c>
      <c r="E218" s="179"/>
      <c r="F218" s="179">
        <v>0</v>
      </c>
      <c r="G218" s="179">
        <v>0</v>
      </c>
      <c r="H218" s="179"/>
      <c r="I218" s="179"/>
      <c r="J218" s="191">
        <v>0</v>
      </c>
      <c r="K218" s="191">
        <v>0</v>
      </c>
      <c r="L218" s="185" t="s">
        <v>315</v>
      </c>
      <c r="N218" s="192" t="s">
        <v>121</v>
      </c>
      <c r="O218" t="s">
        <v>320</v>
      </c>
      <c r="P218" s="197" t="s">
        <v>374</v>
      </c>
    </row>
    <row r="219" spans="2:16" ht="16.5" hidden="1" customHeight="1">
      <c r="B219" t="str">
        <f t="shared" si="16"/>
        <v>211013</v>
      </c>
      <c r="C219" s="179">
        <v>211013001213</v>
      </c>
      <c r="D219" t="s">
        <v>375</v>
      </c>
      <c r="E219" s="179"/>
      <c r="F219" s="179">
        <v>0</v>
      </c>
      <c r="G219" s="179">
        <v>0</v>
      </c>
      <c r="H219" s="179"/>
      <c r="I219" s="179"/>
      <c r="J219" s="191">
        <v>0</v>
      </c>
      <c r="K219" s="191">
        <v>0</v>
      </c>
      <c r="L219" s="185" t="s">
        <v>315</v>
      </c>
      <c r="N219" s="192" t="s">
        <v>121</v>
      </c>
      <c r="O219" t="s">
        <v>320</v>
      </c>
      <c r="P219" t="s">
        <v>317</v>
      </c>
    </row>
    <row r="220" spans="2:16" ht="16.5" hidden="1" customHeight="1">
      <c r="B220" t="str">
        <f t="shared" si="16"/>
        <v>211013</v>
      </c>
      <c r="C220" s="179">
        <v>211013001214</v>
      </c>
      <c r="D220" t="s">
        <v>376</v>
      </c>
      <c r="E220" s="179"/>
      <c r="F220" s="179">
        <v>0</v>
      </c>
      <c r="G220" s="179">
        <v>0</v>
      </c>
      <c r="H220" s="179"/>
      <c r="I220" s="179"/>
      <c r="J220" s="191">
        <v>0</v>
      </c>
      <c r="K220" s="191">
        <v>0</v>
      </c>
      <c r="L220" s="185" t="s">
        <v>315</v>
      </c>
      <c r="N220" s="192" t="s">
        <v>121</v>
      </c>
      <c r="O220" t="s">
        <v>320</v>
      </c>
      <c r="P220" t="s">
        <v>317</v>
      </c>
    </row>
    <row r="221" spans="2:16" ht="16.5" hidden="1" customHeight="1">
      <c r="B221" t="str">
        <f t="shared" si="16"/>
        <v>211013</v>
      </c>
      <c r="C221" s="179">
        <v>211013001225</v>
      </c>
      <c r="D221" t="s">
        <v>377</v>
      </c>
      <c r="E221" s="179"/>
      <c r="F221" s="179">
        <v>-1909777.96</v>
      </c>
      <c r="G221" s="179">
        <v>0</v>
      </c>
      <c r="H221" s="179"/>
      <c r="I221" s="179"/>
      <c r="J221" s="191">
        <v>0</v>
      </c>
      <c r="K221" s="191">
        <v>0</v>
      </c>
      <c r="L221" s="185" t="s">
        <v>315</v>
      </c>
      <c r="N221" s="192" t="s">
        <v>121</v>
      </c>
      <c r="O221" t="s">
        <v>320</v>
      </c>
      <c r="P221" t="s">
        <v>317</v>
      </c>
    </row>
    <row r="222" spans="2:16" ht="16.5" hidden="1" customHeight="1">
      <c r="B222" t="str">
        <f t="shared" si="16"/>
        <v>211013</v>
      </c>
      <c r="C222" s="179">
        <v>211013001226</v>
      </c>
      <c r="D222" t="s">
        <v>378</v>
      </c>
      <c r="E222" s="179"/>
      <c r="F222" s="179">
        <v>-3291.24</v>
      </c>
      <c r="G222" s="179">
        <v>0</v>
      </c>
      <c r="H222" s="179"/>
      <c r="I222" s="179"/>
      <c r="J222" s="191">
        <v>0</v>
      </c>
      <c r="K222" s="191">
        <v>0</v>
      </c>
      <c r="L222" s="185" t="s">
        <v>315</v>
      </c>
      <c r="N222" s="192" t="s">
        <v>121</v>
      </c>
      <c r="O222" t="s">
        <v>320</v>
      </c>
      <c r="P222" t="s">
        <v>317</v>
      </c>
    </row>
    <row r="223" spans="2:16" ht="16.5" hidden="1" customHeight="1">
      <c r="B223" t="str">
        <f t="shared" si="16"/>
        <v>211013</v>
      </c>
      <c r="C223" s="179">
        <v>211013001227</v>
      </c>
      <c r="D223" t="s">
        <v>379</v>
      </c>
      <c r="E223" s="179"/>
      <c r="F223" s="179">
        <v>0</v>
      </c>
      <c r="G223" s="179">
        <v>0</v>
      </c>
      <c r="H223" s="179"/>
      <c r="I223" s="179"/>
      <c r="J223" s="191">
        <v>0</v>
      </c>
      <c r="K223" s="191">
        <v>0</v>
      </c>
      <c r="L223" s="185" t="s">
        <v>315</v>
      </c>
      <c r="N223" s="192" t="s">
        <v>121</v>
      </c>
      <c r="O223" t="s">
        <v>320</v>
      </c>
      <c r="P223" t="s">
        <v>317</v>
      </c>
    </row>
    <row r="224" spans="2:16" ht="16.5" hidden="1" customHeight="1">
      <c r="B224" t="str">
        <f t="shared" si="16"/>
        <v>211013</v>
      </c>
      <c r="C224" s="179">
        <v>211013001229</v>
      </c>
      <c r="D224" t="s">
        <v>380</v>
      </c>
      <c r="E224" s="179"/>
      <c r="F224" s="179">
        <v>-204.3</v>
      </c>
      <c r="G224" s="179">
        <v>0</v>
      </c>
      <c r="H224" s="179"/>
      <c r="I224" s="179"/>
      <c r="J224" s="191">
        <v>0</v>
      </c>
      <c r="K224" s="191">
        <v>0</v>
      </c>
      <c r="L224" s="185" t="s">
        <v>315</v>
      </c>
      <c r="N224" s="192" t="s">
        <v>121</v>
      </c>
      <c r="O224" t="s">
        <v>320</v>
      </c>
      <c r="P224" t="s">
        <v>317</v>
      </c>
    </row>
    <row r="225" spans="2:16" ht="16.5" hidden="1" customHeight="1">
      <c r="B225" t="str">
        <f t="shared" si="16"/>
        <v>211013</v>
      </c>
      <c r="C225" s="179">
        <v>211013001230</v>
      </c>
      <c r="D225" t="s">
        <v>381</v>
      </c>
      <c r="E225" s="179"/>
      <c r="F225" s="179">
        <v>0</v>
      </c>
      <c r="G225" s="179">
        <v>0</v>
      </c>
      <c r="H225" s="179"/>
      <c r="I225" s="179"/>
      <c r="J225" s="191">
        <v>0</v>
      </c>
      <c r="K225" s="191">
        <v>0</v>
      </c>
      <c r="L225" s="185" t="s">
        <v>315</v>
      </c>
      <c r="N225" s="192" t="s">
        <v>121</v>
      </c>
      <c r="O225" t="s">
        <v>320</v>
      </c>
      <c r="P225" t="s">
        <v>317</v>
      </c>
    </row>
    <row r="226" spans="2:16" ht="16.5" hidden="1" customHeight="1">
      <c r="B226" t="str">
        <f t="shared" si="16"/>
        <v>211013</v>
      </c>
      <c r="C226" s="179">
        <v>211013001243</v>
      </c>
      <c r="D226" t="s">
        <v>382</v>
      </c>
      <c r="E226" s="179"/>
      <c r="F226" s="179">
        <v>0</v>
      </c>
      <c r="G226" s="179">
        <v>0</v>
      </c>
      <c r="H226" s="179"/>
      <c r="I226" s="179"/>
      <c r="J226" s="191">
        <v>0</v>
      </c>
      <c r="K226" s="191">
        <v>0</v>
      </c>
      <c r="L226" s="185" t="s">
        <v>315</v>
      </c>
      <c r="N226" s="192" t="s">
        <v>121</v>
      </c>
      <c r="O226" t="s">
        <v>320</v>
      </c>
      <c r="P226" t="s">
        <v>317</v>
      </c>
    </row>
    <row r="227" spans="2:16" ht="16.5" hidden="1" customHeight="1">
      <c r="B227" t="str">
        <f t="shared" si="16"/>
        <v>211013</v>
      </c>
      <c r="C227" s="179">
        <v>211013001251</v>
      </c>
      <c r="D227" t="s">
        <v>383</v>
      </c>
      <c r="E227" s="179"/>
      <c r="F227" s="179">
        <v>0</v>
      </c>
      <c r="G227" s="179">
        <v>0</v>
      </c>
      <c r="H227" s="179"/>
      <c r="I227" s="179"/>
      <c r="J227" s="191">
        <v>0</v>
      </c>
      <c r="K227" s="191">
        <v>0</v>
      </c>
      <c r="L227" s="185" t="s">
        <v>315</v>
      </c>
      <c r="N227" s="192" t="s">
        <v>121</v>
      </c>
      <c r="O227" t="s">
        <v>320</v>
      </c>
      <c r="P227" t="s">
        <v>317</v>
      </c>
    </row>
    <row r="228" spans="2:16" ht="16.5" hidden="1" customHeight="1">
      <c r="B228" t="str">
        <f t="shared" si="16"/>
        <v>211013</v>
      </c>
      <c r="C228" s="179">
        <v>211013001256</v>
      </c>
      <c r="D228" t="s">
        <v>384</v>
      </c>
      <c r="E228" s="179"/>
      <c r="F228" s="179">
        <v>0</v>
      </c>
      <c r="G228" s="179">
        <v>0</v>
      </c>
      <c r="H228" s="179"/>
      <c r="I228" s="179"/>
      <c r="J228" s="191">
        <v>0</v>
      </c>
      <c r="K228" s="191">
        <v>0</v>
      </c>
      <c r="L228" s="185" t="s">
        <v>315</v>
      </c>
      <c r="N228" s="192" t="s">
        <v>121</v>
      </c>
      <c r="O228" t="s">
        <v>320</v>
      </c>
      <c r="P228" t="s">
        <v>317</v>
      </c>
    </row>
    <row r="229" spans="2:16" ht="16.5" hidden="1" customHeight="1">
      <c r="B229" t="str">
        <f t="shared" si="16"/>
        <v>211013</v>
      </c>
      <c r="C229" s="179">
        <v>211013001262</v>
      </c>
      <c r="D229" t="s">
        <v>385</v>
      </c>
      <c r="E229" s="179"/>
      <c r="F229" s="179">
        <v>0</v>
      </c>
      <c r="G229" s="179">
        <v>0</v>
      </c>
      <c r="H229" s="179"/>
      <c r="I229" s="179"/>
      <c r="J229" s="191">
        <v>0</v>
      </c>
      <c r="K229" s="191">
        <v>0</v>
      </c>
      <c r="L229" s="185" t="s">
        <v>315</v>
      </c>
      <c r="N229" s="192" t="s">
        <v>121</v>
      </c>
      <c r="O229" t="s">
        <v>320</v>
      </c>
      <c r="P229" t="s">
        <v>317</v>
      </c>
    </row>
    <row r="230" spans="2:16" ht="16.5" hidden="1" customHeight="1">
      <c r="B230" t="str">
        <f t="shared" si="16"/>
        <v>211013</v>
      </c>
      <c r="C230" s="179">
        <v>211013001267</v>
      </c>
      <c r="D230" t="s">
        <v>386</v>
      </c>
      <c r="E230" s="179"/>
      <c r="F230" s="179">
        <v>0</v>
      </c>
      <c r="G230" s="179">
        <v>0</v>
      </c>
      <c r="H230" s="179"/>
      <c r="I230" s="179"/>
      <c r="J230" s="191">
        <v>0</v>
      </c>
      <c r="K230" s="191">
        <v>0</v>
      </c>
      <c r="L230" s="185" t="s">
        <v>315</v>
      </c>
      <c r="N230" s="192" t="s">
        <v>121</v>
      </c>
      <c r="O230" t="s">
        <v>320</v>
      </c>
      <c r="P230" t="s">
        <v>317</v>
      </c>
    </row>
    <row r="231" spans="2:16" ht="16.5" hidden="1" customHeight="1">
      <c r="B231" t="str">
        <f t="shared" si="16"/>
        <v>211013</v>
      </c>
      <c r="C231" s="179">
        <v>211013001269</v>
      </c>
      <c r="D231" t="s">
        <v>387</v>
      </c>
      <c r="E231" s="179"/>
      <c r="F231" s="179">
        <v>0</v>
      </c>
      <c r="G231" s="179">
        <v>0</v>
      </c>
      <c r="H231" s="179"/>
      <c r="I231" s="179"/>
      <c r="J231" s="191">
        <v>0</v>
      </c>
      <c r="K231" s="191">
        <v>0</v>
      </c>
      <c r="L231" s="185" t="s">
        <v>315</v>
      </c>
      <c r="N231" s="192" t="s">
        <v>121</v>
      </c>
      <c r="O231" t="s">
        <v>320</v>
      </c>
      <c r="P231" t="s">
        <v>317</v>
      </c>
    </row>
    <row r="232" spans="2:16" ht="16.5" hidden="1" customHeight="1">
      <c r="B232" t="str">
        <f t="shared" si="16"/>
        <v>211013</v>
      </c>
      <c r="C232" s="179">
        <v>211013001271</v>
      </c>
      <c r="D232" t="s">
        <v>388</v>
      </c>
      <c r="E232" s="179"/>
      <c r="F232" s="179">
        <v>0</v>
      </c>
      <c r="G232" s="179">
        <v>0</v>
      </c>
      <c r="H232" s="179"/>
      <c r="I232" s="179"/>
      <c r="J232" s="191">
        <v>0</v>
      </c>
      <c r="K232" s="191">
        <v>0</v>
      </c>
      <c r="L232" s="185" t="s">
        <v>315</v>
      </c>
      <c r="N232" s="192" t="s">
        <v>121</v>
      </c>
      <c r="O232" t="s">
        <v>320</v>
      </c>
      <c r="P232" t="s">
        <v>317</v>
      </c>
    </row>
    <row r="233" spans="2:16" ht="16.5" hidden="1" customHeight="1">
      <c r="B233" t="str">
        <f t="shared" si="16"/>
        <v>211013</v>
      </c>
      <c r="C233" s="179">
        <v>211013001277</v>
      </c>
      <c r="D233" t="s">
        <v>389</v>
      </c>
      <c r="E233" s="179"/>
      <c r="F233" s="179">
        <v>0</v>
      </c>
      <c r="G233" s="179">
        <v>0</v>
      </c>
      <c r="H233" s="179"/>
      <c r="I233" s="179"/>
      <c r="J233" s="191">
        <v>0</v>
      </c>
      <c r="K233" s="191">
        <v>0</v>
      </c>
      <c r="L233" s="185" t="s">
        <v>315</v>
      </c>
      <c r="N233" s="192" t="s">
        <v>121</v>
      </c>
      <c r="O233" t="s">
        <v>320</v>
      </c>
      <c r="P233" t="s">
        <v>317</v>
      </c>
    </row>
    <row r="234" spans="2:16" ht="16.5" hidden="1" customHeight="1">
      <c r="B234" t="str">
        <f t="shared" si="16"/>
        <v>211013</v>
      </c>
      <c r="C234" s="179">
        <v>211013001280</v>
      </c>
      <c r="D234" t="s">
        <v>390</v>
      </c>
      <c r="E234" s="179"/>
      <c r="F234" s="179">
        <v>0</v>
      </c>
      <c r="G234" s="179">
        <v>0</v>
      </c>
      <c r="H234" s="179"/>
      <c r="I234" s="179"/>
      <c r="J234" s="191">
        <v>0</v>
      </c>
      <c r="K234" s="191">
        <v>0</v>
      </c>
      <c r="L234" s="185" t="s">
        <v>315</v>
      </c>
      <c r="N234" s="192" t="s">
        <v>121</v>
      </c>
      <c r="O234" t="s">
        <v>320</v>
      </c>
      <c r="P234" t="s">
        <v>317</v>
      </c>
    </row>
    <row r="235" spans="2:16" ht="16.5" hidden="1" customHeight="1">
      <c r="B235" t="str">
        <f t="shared" ref="B235:B298" si="17">LEFT(C235,6)</f>
        <v>211013</v>
      </c>
      <c r="C235" s="179">
        <v>211013001282</v>
      </c>
      <c r="D235" t="s">
        <v>391</v>
      </c>
      <c r="E235" s="179"/>
      <c r="F235" s="179">
        <v>0</v>
      </c>
      <c r="G235" s="179">
        <v>0</v>
      </c>
      <c r="H235" s="179"/>
      <c r="I235" s="179"/>
      <c r="J235" s="191">
        <v>0</v>
      </c>
      <c r="K235" s="191">
        <v>0</v>
      </c>
      <c r="L235" s="185" t="s">
        <v>315</v>
      </c>
      <c r="N235" s="192" t="s">
        <v>121</v>
      </c>
      <c r="O235" t="s">
        <v>320</v>
      </c>
      <c r="P235" t="s">
        <v>317</v>
      </c>
    </row>
    <row r="236" spans="2:16" ht="16.5" hidden="1" customHeight="1">
      <c r="B236" t="str">
        <f t="shared" si="17"/>
        <v>211013</v>
      </c>
      <c r="C236" s="179">
        <v>211013001292</v>
      </c>
      <c r="D236" t="s">
        <v>392</v>
      </c>
      <c r="E236" s="179"/>
      <c r="F236" s="179">
        <v>0</v>
      </c>
      <c r="G236" s="179">
        <v>0</v>
      </c>
      <c r="H236" s="179"/>
      <c r="I236" s="179"/>
      <c r="J236" s="191">
        <v>0</v>
      </c>
      <c r="K236" s="191">
        <v>0</v>
      </c>
      <c r="L236" s="185" t="s">
        <v>315</v>
      </c>
      <c r="N236" s="192" t="s">
        <v>121</v>
      </c>
      <c r="O236" t="s">
        <v>320</v>
      </c>
      <c r="P236" t="s">
        <v>317</v>
      </c>
    </row>
    <row r="237" spans="2:16" ht="16.5" hidden="1" customHeight="1">
      <c r="B237" t="str">
        <f t="shared" si="17"/>
        <v>211013</v>
      </c>
      <c r="C237" s="179">
        <v>211013001293</v>
      </c>
      <c r="D237" t="s">
        <v>393</v>
      </c>
      <c r="E237" s="179"/>
      <c r="F237" s="179">
        <v>0</v>
      </c>
      <c r="G237" s="179">
        <v>0</v>
      </c>
      <c r="H237" s="179"/>
      <c r="I237" s="179"/>
      <c r="J237" s="191">
        <v>0</v>
      </c>
      <c r="K237" s="191">
        <v>0</v>
      </c>
      <c r="L237" s="185" t="s">
        <v>315</v>
      </c>
      <c r="N237" s="192" t="s">
        <v>121</v>
      </c>
      <c r="O237" t="s">
        <v>320</v>
      </c>
      <c r="P237" t="s">
        <v>317</v>
      </c>
    </row>
    <row r="238" spans="2:16" ht="16.5" hidden="1" customHeight="1">
      <c r="B238" t="str">
        <f t="shared" si="17"/>
        <v>211013</v>
      </c>
      <c r="C238" s="179">
        <v>211013001310</v>
      </c>
      <c r="D238" t="s">
        <v>394</v>
      </c>
      <c r="E238" s="179"/>
      <c r="F238" s="179">
        <v>-323718.61</v>
      </c>
      <c r="G238" s="179">
        <v>0</v>
      </c>
      <c r="H238" s="179"/>
      <c r="I238" s="179"/>
      <c r="J238" s="191">
        <v>0</v>
      </c>
      <c r="K238" s="191">
        <v>0</v>
      </c>
      <c r="L238" s="185" t="s">
        <v>315</v>
      </c>
      <c r="N238" s="192" t="s">
        <v>121</v>
      </c>
      <c r="O238" t="s">
        <v>320</v>
      </c>
      <c r="P238" t="s">
        <v>317</v>
      </c>
    </row>
    <row r="239" spans="2:16" ht="16.5" hidden="1" customHeight="1">
      <c r="B239" t="str">
        <f t="shared" si="17"/>
        <v>211013</v>
      </c>
      <c r="C239" s="179">
        <v>211013001311</v>
      </c>
      <c r="D239" t="s">
        <v>395</v>
      </c>
      <c r="E239" s="179"/>
      <c r="F239" s="179">
        <v>-1769.65</v>
      </c>
      <c r="G239" s="179">
        <v>0</v>
      </c>
      <c r="H239" s="179"/>
      <c r="I239" s="179"/>
      <c r="J239" s="191">
        <v>0</v>
      </c>
      <c r="K239" s="191">
        <v>0</v>
      </c>
      <c r="L239" s="185" t="s">
        <v>315</v>
      </c>
      <c r="N239" s="192" t="s">
        <v>121</v>
      </c>
      <c r="O239" t="s">
        <v>320</v>
      </c>
      <c r="P239" t="s">
        <v>317</v>
      </c>
    </row>
    <row r="240" spans="2:16" ht="16.5" hidden="1" customHeight="1">
      <c r="B240" t="str">
        <f t="shared" si="17"/>
        <v>211013</v>
      </c>
      <c r="C240" s="179">
        <v>211013001316</v>
      </c>
      <c r="D240" t="s">
        <v>396</v>
      </c>
      <c r="E240" s="179"/>
      <c r="F240" s="179">
        <v>0</v>
      </c>
      <c r="G240" s="179">
        <v>0</v>
      </c>
      <c r="H240" s="179"/>
      <c r="I240" s="179"/>
      <c r="J240" s="191">
        <v>0</v>
      </c>
      <c r="K240" s="191">
        <v>0</v>
      </c>
      <c r="L240" s="185" t="s">
        <v>315</v>
      </c>
      <c r="N240" s="192" t="s">
        <v>121</v>
      </c>
      <c r="O240" t="s">
        <v>320</v>
      </c>
      <c r="P240" t="s">
        <v>317</v>
      </c>
    </row>
    <row r="241" spans="2:16" ht="16.5" hidden="1" customHeight="1">
      <c r="B241" t="str">
        <f t="shared" si="17"/>
        <v>211013</v>
      </c>
      <c r="C241" s="179">
        <v>211013001319</v>
      </c>
      <c r="D241" t="s">
        <v>397</v>
      </c>
      <c r="E241" s="179"/>
      <c r="F241" s="179">
        <v>-606.85</v>
      </c>
      <c r="G241" s="179">
        <v>0</v>
      </c>
      <c r="H241" s="179"/>
      <c r="I241" s="179"/>
      <c r="J241" s="191">
        <v>0</v>
      </c>
      <c r="K241" s="191">
        <v>0</v>
      </c>
      <c r="L241" s="185" t="s">
        <v>315</v>
      </c>
      <c r="N241" s="192" t="s">
        <v>121</v>
      </c>
      <c r="O241" t="s">
        <v>320</v>
      </c>
      <c r="P241" t="s">
        <v>317</v>
      </c>
    </row>
    <row r="242" spans="2:16" ht="16.5" hidden="1" customHeight="1">
      <c r="B242" t="str">
        <f t="shared" si="17"/>
        <v>211013</v>
      </c>
      <c r="C242" s="179">
        <v>211013001331</v>
      </c>
      <c r="D242" t="s">
        <v>398</v>
      </c>
      <c r="E242" s="179"/>
      <c r="F242" s="179">
        <v>0</v>
      </c>
      <c r="G242" s="179">
        <v>0</v>
      </c>
      <c r="H242" s="179"/>
      <c r="I242" s="179"/>
      <c r="J242" s="191">
        <v>0</v>
      </c>
      <c r="K242" s="191">
        <v>0</v>
      </c>
      <c r="L242" s="185" t="s">
        <v>315</v>
      </c>
      <c r="N242" s="192" t="s">
        <v>121</v>
      </c>
      <c r="O242" t="s">
        <v>320</v>
      </c>
      <c r="P242" t="s">
        <v>317</v>
      </c>
    </row>
    <row r="243" spans="2:16" ht="16.5" hidden="1" customHeight="1">
      <c r="B243" t="str">
        <f t="shared" si="17"/>
        <v>211013</v>
      </c>
      <c r="C243" s="179">
        <v>211013001333</v>
      </c>
      <c r="D243" t="s">
        <v>399</v>
      </c>
      <c r="E243" s="179"/>
      <c r="F243" s="179">
        <v>0</v>
      </c>
      <c r="G243" s="179">
        <v>0</v>
      </c>
      <c r="H243" s="179"/>
      <c r="I243" s="179"/>
      <c r="J243" s="191">
        <v>0</v>
      </c>
      <c r="K243" s="191">
        <v>0</v>
      </c>
      <c r="L243" s="185" t="s">
        <v>315</v>
      </c>
      <c r="N243" s="192" t="s">
        <v>121</v>
      </c>
      <c r="O243" t="s">
        <v>320</v>
      </c>
      <c r="P243" t="s">
        <v>317</v>
      </c>
    </row>
    <row r="244" spans="2:16" ht="16.5" hidden="1" customHeight="1">
      <c r="B244" t="str">
        <f t="shared" si="17"/>
        <v>211013</v>
      </c>
      <c r="C244" s="179">
        <v>211013001335</v>
      </c>
      <c r="D244" t="s">
        <v>400</v>
      </c>
      <c r="E244" s="179"/>
      <c r="F244" s="179">
        <v>-450</v>
      </c>
      <c r="G244" s="179">
        <v>0</v>
      </c>
      <c r="H244" s="179"/>
      <c r="I244" s="179"/>
      <c r="J244" s="191">
        <v>0</v>
      </c>
      <c r="K244" s="191">
        <v>0</v>
      </c>
      <c r="L244" s="185" t="s">
        <v>315</v>
      </c>
      <c r="N244" s="192" t="s">
        <v>121</v>
      </c>
      <c r="O244" t="s">
        <v>320</v>
      </c>
      <c r="P244" t="s">
        <v>317</v>
      </c>
    </row>
    <row r="245" spans="2:16" ht="16.5" hidden="1" customHeight="1">
      <c r="B245" t="str">
        <f t="shared" si="17"/>
        <v>211013</v>
      </c>
      <c r="C245" s="179">
        <v>211013001337</v>
      </c>
      <c r="D245" t="s">
        <v>401</v>
      </c>
      <c r="E245" s="179"/>
      <c r="F245" s="179">
        <v>0</v>
      </c>
      <c r="G245" s="179">
        <v>0</v>
      </c>
      <c r="H245" s="179"/>
      <c r="I245" s="179"/>
      <c r="J245" s="191">
        <v>0</v>
      </c>
      <c r="K245" s="191">
        <v>0</v>
      </c>
      <c r="L245" s="185" t="s">
        <v>315</v>
      </c>
      <c r="N245" s="192" t="s">
        <v>121</v>
      </c>
      <c r="O245" t="s">
        <v>320</v>
      </c>
      <c r="P245" t="s">
        <v>317</v>
      </c>
    </row>
    <row r="246" spans="2:16" ht="16.5" hidden="1" customHeight="1">
      <c r="B246" t="str">
        <f t="shared" si="17"/>
        <v>211013</v>
      </c>
      <c r="C246" s="179">
        <v>211013001339</v>
      </c>
      <c r="D246" t="s">
        <v>402</v>
      </c>
      <c r="E246" s="179"/>
      <c r="F246" s="179">
        <v>-100</v>
      </c>
      <c r="G246" s="179">
        <v>0</v>
      </c>
      <c r="H246" s="179"/>
      <c r="I246" s="179"/>
      <c r="J246" s="191">
        <v>0</v>
      </c>
      <c r="K246" s="191">
        <v>0</v>
      </c>
      <c r="L246" s="185" t="s">
        <v>315</v>
      </c>
      <c r="N246" s="192" t="s">
        <v>121</v>
      </c>
      <c r="O246" t="s">
        <v>320</v>
      </c>
      <c r="P246" t="s">
        <v>317</v>
      </c>
    </row>
    <row r="247" spans="2:16" ht="16.5" hidden="1" customHeight="1">
      <c r="B247" t="str">
        <f t="shared" si="17"/>
        <v>211013</v>
      </c>
      <c r="C247" s="179">
        <v>211013001342</v>
      </c>
      <c r="D247" t="s">
        <v>403</v>
      </c>
      <c r="E247" s="179"/>
      <c r="F247" s="179">
        <v>0</v>
      </c>
      <c r="G247" s="179">
        <v>0</v>
      </c>
      <c r="H247" s="179"/>
      <c r="I247" s="179"/>
      <c r="J247" s="191">
        <v>0</v>
      </c>
      <c r="K247" s="191">
        <v>0</v>
      </c>
      <c r="L247" s="185" t="s">
        <v>315</v>
      </c>
      <c r="N247" s="192" t="s">
        <v>121</v>
      </c>
      <c r="O247" t="s">
        <v>320</v>
      </c>
      <c r="P247" t="s">
        <v>317</v>
      </c>
    </row>
    <row r="248" spans="2:16" ht="16.5" hidden="1" customHeight="1">
      <c r="B248" t="str">
        <f t="shared" si="17"/>
        <v>211013</v>
      </c>
      <c r="C248" s="179">
        <v>211013001343</v>
      </c>
      <c r="D248" t="s">
        <v>404</v>
      </c>
      <c r="E248" s="179"/>
      <c r="F248" s="179">
        <v>0</v>
      </c>
      <c r="G248" s="179">
        <v>0</v>
      </c>
      <c r="H248" s="179"/>
      <c r="I248" s="179"/>
      <c r="J248" s="191">
        <v>0</v>
      </c>
      <c r="K248" s="191">
        <v>0</v>
      </c>
      <c r="L248" s="185" t="s">
        <v>315</v>
      </c>
      <c r="N248" s="192" t="s">
        <v>121</v>
      </c>
      <c r="O248" t="s">
        <v>320</v>
      </c>
      <c r="P248" t="s">
        <v>317</v>
      </c>
    </row>
    <row r="249" spans="2:16" ht="16.5" hidden="1" customHeight="1">
      <c r="B249" t="str">
        <f t="shared" si="17"/>
        <v>211013</v>
      </c>
      <c r="C249" s="179">
        <v>211013001352</v>
      </c>
      <c r="D249" t="s">
        <v>405</v>
      </c>
      <c r="E249" s="179"/>
      <c r="F249" s="179">
        <v>-427.55</v>
      </c>
      <c r="G249" s="179">
        <v>0</v>
      </c>
      <c r="H249" s="179"/>
      <c r="I249" s="179"/>
      <c r="J249" s="191">
        <v>0</v>
      </c>
      <c r="K249" s="191">
        <v>0</v>
      </c>
      <c r="L249" s="185" t="s">
        <v>315</v>
      </c>
      <c r="N249" s="192" t="s">
        <v>121</v>
      </c>
      <c r="O249" t="s">
        <v>320</v>
      </c>
      <c r="P249" t="s">
        <v>317</v>
      </c>
    </row>
    <row r="250" spans="2:16" ht="16.5" hidden="1" customHeight="1">
      <c r="B250" t="str">
        <f t="shared" si="17"/>
        <v>211013</v>
      </c>
      <c r="C250" s="179">
        <v>211013001355</v>
      </c>
      <c r="D250" t="s">
        <v>406</v>
      </c>
      <c r="E250" s="179"/>
      <c r="F250" s="179">
        <v>0</v>
      </c>
      <c r="G250" s="179">
        <v>0</v>
      </c>
      <c r="H250" s="179"/>
      <c r="I250" s="179"/>
      <c r="J250" s="191">
        <v>0</v>
      </c>
      <c r="K250" s="191">
        <v>0</v>
      </c>
      <c r="L250" s="185" t="s">
        <v>315</v>
      </c>
      <c r="N250" s="192" t="s">
        <v>121</v>
      </c>
      <c r="O250" t="s">
        <v>320</v>
      </c>
      <c r="P250" t="s">
        <v>317</v>
      </c>
    </row>
    <row r="251" spans="2:16" ht="16.5" hidden="1" customHeight="1">
      <c r="B251" t="str">
        <f t="shared" si="17"/>
        <v>211013</v>
      </c>
      <c r="C251" s="179">
        <v>211013001363</v>
      </c>
      <c r="D251" t="s">
        <v>407</v>
      </c>
      <c r="E251" s="179"/>
      <c r="F251" s="179">
        <v>0</v>
      </c>
      <c r="G251" s="179">
        <v>0</v>
      </c>
      <c r="H251" s="179"/>
      <c r="I251" s="179"/>
      <c r="J251" s="191">
        <v>0</v>
      </c>
      <c r="K251" s="191">
        <v>0</v>
      </c>
      <c r="L251" s="185" t="s">
        <v>315</v>
      </c>
      <c r="N251" s="192" t="s">
        <v>121</v>
      </c>
      <c r="O251" t="s">
        <v>320</v>
      </c>
      <c r="P251" t="s">
        <v>317</v>
      </c>
    </row>
    <row r="252" spans="2:16" ht="16.5" hidden="1" customHeight="1">
      <c r="B252" t="str">
        <f t="shared" si="17"/>
        <v>211013</v>
      </c>
      <c r="C252" s="179">
        <v>211013001364</v>
      </c>
      <c r="D252" t="s">
        <v>408</v>
      </c>
      <c r="E252" s="179"/>
      <c r="F252" s="179">
        <v>0</v>
      </c>
      <c r="G252" s="179">
        <v>0</v>
      </c>
      <c r="H252" s="179"/>
      <c r="I252" s="179"/>
      <c r="J252" s="191">
        <v>0</v>
      </c>
      <c r="K252" s="191">
        <v>0</v>
      </c>
      <c r="L252" s="185" t="s">
        <v>315</v>
      </c>
      <c r="N252" s="192" t="s">
        <v>121</v>
      </c>
      <c r="O252" t="s">
        <v>320</v>
      </c>
      <c r="P252" t="s">
        <v>317</v>
      </c>
    </row>
    <row r="253" spans="2:16" ht="16.5" hidden="1" customHeight="1">
      <c r="B253" t="str">
        <f t="shared" si="17"/>
        <v>211013</v>
      </c>
      <c r="C253" s="179">
        <v>211013001367</v>
      </c>
      <c r="D253" t="s">
        <v>409</v>
      </c>
      <c r="E253" s="179"/>
      <c r="F253" s="179">
        <v>0</v>
      </c>
      <c r="G253" s="179">
        <v>0</v>
      </c>
      <c r="H253" s="179"/>
      <c r="I253" s="179"/>
      <c r="J253" s="191">
        <v>0</v>
      </c>
      <c r="K253" s="191">
        <v>0</v>
      </c>
      <c r="L253" s="185" t="s">
        <v>315</v>
      </c>
      <c r="N253" s="192" t="s">
        <v>121</v>
      </c>
      <c r="O253" t="s">
        <v>320</v>
      </c>
      <c r="P253" t="s">
        <v>317</v>
      </c>
    </row>
    <row r="254" spans="2:16" ht="16.5" hidden="1" customHeight="1">
      <c r="B254" t="str">
        <f t="shared" si="17"/>
        <v>211013</v>
      </c>
      <c r="C254" s="179">
        <v>211013001368</v>
      </c>
      <c r="D254" t="s">
        <v>410</v>
      </c>
      <c r="E254" s="179"/>
      <c r="F254" s="179">
        <v>0</v>
      </c>
      <c r="G254" s="179">
        <v>0</v>
      </c>
      <c r="H254" s="179"/>
      <c r="I254" s="179"/>
      <c r="J254" s="191">
        <v>0</v>
      </c>
      <c r="K254" s="191">
        <v>0</v>
      </c>
      <c r="L254" s="185" t="s">
        <v>315</v>
      </c>
      <c r="N254" s="192" t="s">
        <v>121</v>
      </c>
      <c r="O254" t="s">
        <v>320</v>
      </c>
      <c r="P254" t="s">
        <v>317</v>
      </c>
    </row>
    <row r="255" spans="2:16" ht="16.5" hidden="1" customHeight="1">
      <c r="B255" t="str">
        <f t="shared" si="17"/>
        <v>211013</v>
      </c>
      <c r="C255" s="179">
        <v>211013001369</v>
      </c>
      <c r="D255" t="s">
        <v>411</v>
      </c>
      <c r="E255" s="179"/>
      <c r="F255" s="179">
        <v>0</v>
      </c>
      <c r="G255" s="179">
        <v>0</v>
      </c>
      <c r="H255" s="179"/>
      <c r="I255" s="179"/>
      <c r="J255" s="191">
        <v>0</v>
      </c>
      <c r="K255" s="191">
        <v>0</v>
      </c>
      <c r="L255" s="185" t="s">
        <v>315</v>
      </c>
      <c r="N255" s="192" t="s">
        <v>121</v>
      </c>
      <c r="O255" t="s">
        <v>320</v>
      </c>
      <c r="P255" t="s">
        <v>317</v>
      </c>
    </row>
    <row r="256" spans="2:16" ht="16.5" hidden="1" customHeight="1">
      <c r="B256" t="str">
        <f t="shared" si="17"/>
        <v>211013</v>
      </c>
      <c r="C256" s="179">
        <v>211013001373</v>
      </c>
      <c r="D256" t="s">
        <v>412</v>
      </c>
      <c r="E256" s="179"/>
      <c r="F256" s="179">
        <v>-73.83</v>
      </c>
      <c r="G256" s="179">
        <v>0</v>
      </c>
      <c r="H256" s="179"/>
      <c r="I256" s="179"/>
      <c r="J256" s="191">
        <v>0</v>
      </c>
      <c r="K256" s="191">
        <v>0</v>
      </c>
      <c r="L256" s="185" t="s">
        <v>315</v>
      </c>
      <c r="N256" s="192" t="s">
        <v>121</v>
      </c>
      <c r="O256" t="s">
        <v>320</v>
      </c>
      <c r="P256" t="s">
        <v>317</v>
      </c>
    </row>
    <row r="257" spans="2:16" ht="16.5" hidden="1" customHeight="1">
      <c r="B257" t="str">
        <f t="shared" si="17"/>
        <v>211013</v>
      </c>
      <c r="C257" s="179">
        <v>211013001377</v>
      </c>
      <c r="D257" t="s">
        <v>413</v>
      </c>
      <c r="E257" s="179"/>
      <c r="F257" s="179">
        <v>0</v>
      </c>
      <c r="G257" s="179">
        <v>0</v>
      </c>
      <c r="H257" s="179"/>
      <c r="I257" s="179"/>
      <c r="J257" s="191">
        <v>0</v>
      </c>
      <c r="K257" s="191">
        <v>0</v>
      </c>
      <c r="L257" s="185" t="s">
        <v>315</v>
      </c>
      <c r="N257" s="192" t="s">
        <v>121</v>
      </c>
      <c r="O257" t="s">
        <v>320</v>
      </c>
      <c r="P257" t="s">
        <v>317</v>
      </c>
    </row>
    <row r="258" spans="2:16" ht="16.5" hidden="1" customHeight="1">
      <c r="B258" t="str">
        <f t="shared" si="17"/>
        <v>211013</v>
      </c>
      <c r="C258" s="179">
        <v>211013001381</v>
      </c>
      <c r="D258" t="s">
        <v>414</v>
      </c>
      <c r="E258" s="179"/>
      <c r="F258" s="179">
        <v>-3853.7</v>
      </c>
      <c r="G258" s="179">
        <v>0</v>
      </c>
      <c r="H258" s="179"/>
      <c r="I258" s="179"/>
      <c r="J258" s="191">
        <v>0</v>
      </c>
      <c r="K258" s="191">
        <v>0</v>
      </c>
      <c r="L258" s="185" t="s">
        <v>315</v>
      </c>
      <c r="N258" s="192" t="s">
        <v>121</v>
      </c>
      <c r="O258" t="s">
        <v>320</v>
      </c>
      <c r="P258" t="s">
        <v>317</v>
      </c>
    </row>
    <row r="259" spans="2:16" ht="16.5" hidden="1" customHeight="1">
      <c r="B259" t="str">
        <f t="shared" si="17"/>
        <v>211013</v>
      </c>
      <c r="C259" s="179">
        <v>211013001382</v>
      </c>
      <c r="D259" t="s">
        <v>415</v>
      </c>
      <c r="E259" s="179"/>
      <c r="F259" s="179">
        <v>0</v>
      </c>
      <c r="G259" s="179">
        <v>0</v>
      </c>
      <c r="H259" s="179"/>
      <c r="I259" s="179"/>
      <c r="J259" s="191">
        <v>0</v>
      </c>
      <c r="K259" s="191">
        <v>0</v>
      </c>
      <c r="L259" s="185" t="s">
        <v>315</v>
      </c>
      <c r="N259" s="192" t="s">
        <v>121</v>
      </c>
      <c r="O259" t="s">
        <v>320</v>
      </c>
      <c r="P259" t="s">
        <v>317</v>
      </c>
    </row>
    <row r="260" spans="2:16" ht="16.5" hidden="1" customHeight="1">
      <c r="B260" t="str">
        <f t="shared" si="17"/>
        <v>211013</v>
      </c>
      <c r="C260" s="179">
        <v>211013001385</v>
      </c>
      <c r="D260" t="s">
        <v>416</v>
      </c>
      <c r="E260" s="179"/>
      <c r="F260" s="179">
        <v>0</v>
      </c>
      <c r="G260" s="179">
        <v>0</v>
      </c>
      <c r="H260" s="179"/>
      <c r="I260" s="179"/>
      <c r="J260" s="191">
        <v>0</v>
      </c>
      <c r="K260" s="191">
        <v>0</v>
      </c>
      <c r="L260" s="185" t="s">
        <v>315</v>
      </c>
      <c r="N260" s="192" t="s">
        <v>121</v>
      </c>
      <c r="O260" t="s">
        <v>320</v>
      </c>
      <c r="P260" t="s">
        <v>317</v>
      </c>
    </row>
    <row r="261" spans="2:16" ht="16.5" hidden="1" customHeight="1">
      <c r="B261" t="str">
        <f t="shared" si="17"/>
        <v>211013</v>
      </c>
      <c r="C261" s="179">
        <v>211013001392</v>
      </c>
      <c r="D261" t="s">
        <v>417</v>
      </c>
      <c r="E261" s="179"/>
      <c r="F261" s="179">
        <v>0</v>
      </c>
      <c r="G261" s="179">
        <v>0</v>
      </c>
      <c r="H261" s="179"/>
      <c r="I261" s="179"/>
      <c r="J261" s="191">
        <v>0</v>
      </c>
      <c r="K261" s="191">
        <v>0</v>
      </c>
      <c r="L261" s="185" t="s">
        <v>315</v>
      </c>
      <c r="N261" s="192" t="s">
        <v>121</v>
      </c>
      <c r="O261" t="s">
        <v>320</v>
      </c>
      <c r="P261" t="s">
        <v>317</v>
      </c>
    </row>
    <row r="262" spans="2:16" ht="16.5" hidden="1" customHeight="1">
      <c r="B262" t="str">
        <f t="shared" si="17"/>
        <v>211013</v>
      </c>
      <c r="C262" s="179">
        <v>211013001397</v>
      </c>
      <c r="D262" t="s">
        <v>418</v>
      </c>
      <c r="E262" s="179"/>
      <c r="F262" s="179">
        <v>0</v>
      </c>
      <c r="G262" s="179">
        <v>0</v>
      </c>
      <c r="H262" s="179"/>
      <c r="I262" s="179"/>
      <c r="J262" s="191">
        <v>0</v>
      </c>
      <c r="K262" s="191">
        <v>0</v>
      </c>
      <c r="L262" s="185" t="s">
        <v>315</v>
      </c>
      <c r="N262" s="192" t="s">
        <v>121</v>
      </c>
      <c r="O262" t="s">
        <v>320</v>
      </c>
      <c r="P262" t="s">
        <v>317</v>
      </c>
    </row>
    <row r="263" spans="2:16" ht="16.5" hidden="1" customHeight="1">
      <c r="B263" t="str">
        <f t="shared" si="17"/>
        <v>211013</v>
      </c>
      <c r="C263" s="179">
        <v>211013001401</v>
      </c>
      <c r="D263" t="s">
        <v>419</v>
      </c>
      <c r="E263" s="179"/>
      <c r="F263" s="179">
        <v>0</v>
      </c>
      <c r="G263" s="179">
        <v>0</v>
      </c>
      <c r="H263" s="179"/>
      <c r="I263" s="179"/>
      <c r="J263" s="191">
        <v>0</v>
      </c>
      <c r="K263" s="191">
        <v>0</v>
      </c>
      <c r="L263" s="185" t="s">
        <v>315</v>
      </c>
      <c r="N263" s="192" t="s">
        <v>121</v>
      </c>
      <c r="O263" t="s">
        <v>320</v>
      </c>
      <c r="P263" t="s">
        <v>317</v>
      </c>
    </row>
    <row r="264" spans="2:16" ht="16.5" hidden="1" customHeight="1">
      <c r="B264" t="str">
        <f t="shared" si="17"/>
        <v>211013</v>
      </c>
      <c r="C264" s="179">
        <v>211013001403</v>
      </c>
      <c r="D264" t="s">
        <v>420</v>
      </c>
      <c r="E264" s="179"/>
      <c r="F264" s="179">
        <v>0</v>
      </c>
      <c r="G264" s="179">
        <v>0</v>
      </c>
      <c r="H264" s="179"/>
      <c r="I264" s="179"/>
      <c r="J264" s="191">
        <v>0</v>
      </c>
      <c r="K264" s="191">
        <v>0</v>
      </c>
      <c r="L264" s="185" t="s">
        <v>315</v>
      </c>
      <c r="N264" s="192" t="s">
        <v>121</v>
      </c>
      <c r="O264" t="s">
        <v>320</v>
      </c>
      <c r="P264" t="s">
        <v>317</v>
      </c>
    </row>
    <row r="265" spans="2:16" ht="16.5" hidden="1" customHeight="1">
      <c r="B265" t="str">
        <f t="shared" si="17"/>
        <v>211013</v>
      </c>
      <c r="C265" s="179">
        <v>211013001406</v>
      </c>
      <c r="D265" t="s">
        <v>421</v>
      </c>
      <c r="E265" s="179"/>
      <c r="F265" s="179">
        <v>0</v>
      </c>
      <c r="G265" s="179">
        <v>0</v>
      </c>
      <c r="H265" s="179"/>
      <c r="I265" s="179"/>
      <c r="J265" s="191">
        <v>0</v>
      </c>
      <c r="K265" s="191">
        <v>0</v>
      </c>
      <c r="L265" s="185" t="s">
        <v>315</v>
      </c>
      <c r="N265" s="192" t="s">
        <v>121</v>
      </c>
      <c r="O265" t="s">
        <v>320</v>
      </c>
      <c r="P265" t="s">
        <v>317</v>
      </c>
    </row>
    <row r="266" spans="2:16" ht="16.5" hidden="1" customHeight="1">
      <c r="B266" t="str">
        <f t="shared" si="17"/>
        <v>211013</v>
      </c>
      <c r="C266" s="179">
        <v>211013001413</v>
      </c>
      <c r="D266" t="s">
        <v>422</v>
      </c>
      <c r="E266" s="179"/>
      <c r="F266" s="179">
        <v>0</v>
      </c>
      <c r="G266" s="179">
        <v>0</v>
      </c>
      <c r="H266" s="179"/>
      <c r="I266" s="179"/>
      <c r="J266" s="191">
        <v>0</v>
      </c>
      <c r="K266" s="191">
        <v>0</v>
      </c>
      <c r="L266" s="185" t="s">
        <v>315</v>
      </c>
      <c r="N266" s="192" t="s">
        <v>121</v>
      </c>
      <c r="O266" t="s">
        <v>320</v>
      </c>
      <c r="P266" t="s">
        <v>317</v>
      </c>
    </row>
    <row r="267" spans="2:16" ht="16.5" hidden="1" customHeight="1">
      <c r="B267" t="str">
        <f t="shared" si="17"/>
        <v>211013</v>
      </c>
      <c r="C267" s="179">
        <v>211013001414</v>
      </c>
      <c r="D267" t="s">
        <v>423</v>
      </c>
      <c r="E267" s="179"/>
      <c r="F267" s="179">
        <v>0</v>
      </c>
      <c r="G267" s="179">
        <v>0</v>
      </c>
      <c r="H267" s="179"/>
      <c r="I267" s="179"/>
      <c r="J267" s="191">
        <v>0</v>
      </c>
      <c r="K267" s="191">
        <v>0</v>
      </c>
      <c r="L267" s="185" t="s">
        <v>315</v>
      </c>
      <c r="N267" s="192" t="s">
        <v>121</v>
      </c>
      <c r="O267" t="s">
        <v>320</v>
      </c>
      <c r="P267" t="s">
        <v>317</v>
      </c>
    </row>
    <row r="268" spans="2:16" ht="16.5" hidden="1" customHeight="1">
      <c r="B268" t="str">
        <f t="shared" si="17"/>
        <v>211013</v>
      </c>
      <c r="C268" s="179">
        <v>211013001415</v>
      </c>
      <c r="D268" t="s">
        <v>424</v>
      </c>
      <c r="E268" s="179"/>
      <c r="F268" s="179">
        <v>0</v>
      </c>
      <c r="G268" s="179">
        <v>0</v>
      </c>
      <c r="H268" s="179"/>
      <c r="I268" s="179"/>
      <c r="J268" s="191">
        <v>0</v>
      </c>
      <c r="K268" s="191">
        <v>0</v>
      </c>
      <c r="L268" s="185" t="s">
        <v>315</v>
      </c>
      <c r="N268" s="192" t="s">
        <v>121</v>
      </c>
      <c r="O268" t="s">
        <v>320</v>
      </c>
      <c r="P268" t="s">
        <v>317</v>
      </c>
    </row>
    <row r="269" spans="2:16" ht="16.5" hidden="1" customHeight="1">
      <c r="B269" t="str">
        <f t="shared" si="17"/>
        <v>211013</v>
      </c>
      <c r="C269" s="179">
        <v>211013001418</v>
      </c>
      <c r="D269" t="s">
        <v>425</v>
      </c>
      <c r="E269" s="179"/>
      <c r="F269" s="179">
        <v>0</v>
      </c>
      <c r="G269" s="179">
        <v>0</v>
      </c>
      <c r="H269" s="179"/>
      <c r="I269" s="179"/>
      <c r="J269" s="191">
        <v>0</v>
      </c>
      <c r="K269" s="191">
        <v>0</v>
      </c>
      <c r="L269" s="185" t="s">
        <v>315</v>
      </c>
      <c r="N269" s="192" t="s">
        <v>121</v>
      </c>
      <c r="O269" t="s">
        <v>320</v>
      </c>
      <c r="P269" t="s">
        <v>317</v>
      </c>
    </row>
    <row r="270" spans="2:16" ht="16.5" hidden="1" customHeight="1">
      <c r="B270" t="str">
        <f t="shared" si="17"/>
        <v>211013</v>
      </c>
      <c r="C270" s="179">
        <v>211013001421</v>
      </c>
      <c r="D270" t="s">
        <v>426</v>
      </c>
      <c r="E270" s="179"/>
      <c r="F270" s="179">
        <v>-16699.849999999999</v>
      </c>
      <c r="G270" s="179">
        <v>0</v>
      </c>
      <c r="H270" s="179"/>
      <c r="I270" s="179"/>
      <c r="J270" s="191">
        <v>0</v>
      </c>
      <c r="K270" s="191">
        <v>0</v>
      </c>
      <c r="L270" s="185" t="s">
        <v>315</v>
      </c>
      <c r="N270" s="192" t="s">
        <v>121</v>
      </c>
      <c r="O270" t="s">
        <v>320</v>
      </c>
      <c r="P270" t="s">
        <v>317</v>
      </c>
    </row>
    <row r="271" spans="2:16" ht="16.5" hidden="1" customHeight="1">
      <c r="B271" t="str">
        <f t="shared" si="17"/>
        <v>211013</v>
      </c>
      <c r="C271" s="179">
        <v>211013001422</v>
      </c>
      <c r="D271" t="s">
        <v>427</v>
      </c>
      <c r="E271" s="179"/>
      <c r="F271" s="179">
        <v>-1248</v>
      </c>
      <c r="G271" s="179">
        <v>0</v>
      </c>
      <c r="H271" s="179"/>
      <c r="I271" s="179"/>
      <c r="J271" s="191">
        <v>0</v>
      </c>
      <c r="K271" s="191">
        <v>0</v>
      </c>
      <c r="L271" s="185" t="s">
        <v>315</v>
      </c>
      <c r="N271" s="192" t="s">
        <v>121</v>
      </c>
      <c r="O271" t="s">
        <v>320</v>
      </c>
      <c r="P271" t="s">
        <v>317</v>
      </c>
    </row>
    <row r="272" spans="2:16" ht="16.5" hidden="1" customHeight="1">
      <c r="B272" t="str">
        <f t="shared" si="17"/>
        <v>211013</v>
      </c>
      <c r="C272" s="179">
        <v>211013001424</v>
      </c>
      <c r="D272" t="s">
        <v>428</v>
      </c>
      <c r="E272" s="179"/>
      <c r="F272" s="179">
        <v>0</v>
      </c>
      <c r="G272" s="179">
        <v>0</v>
      </c>
      <c r="H272" s="179"/>
      <c r="I272" s="179"/>
      <c r="J272" s="191">
        <v>0</v>
      </c>
      <c r="K272" s="191">
        <v>0</v>
      </c>
      <c r="L272" s="185" t="s">
        <v>315</v>
      </c>
      <c r="N272" s="192" t="s">
        <v>121</v>
      </c>
      <c r="O272" t="s">
        <v>320</v>
      </c>
      <c r="P272" t="s">
        <v>317</v>
      </c>
    </row>
    <row r="273" spans="2:16" ht="16.5" hidden="1" customHeight="1">
      <c r="B273" t="str">
        <f t="shared" si="17"/>
        <v>211013</v>
      </c>
      <c r="C273" s="179">
        <v>211013001426</v>
      </c>
      <c r="D273" t="s">
        <v>429</v>
      </c>
      <c r="E273" s="179"/>
      <c r="F273" s="179">
        <v>-1088.0999999999999</v>
      </c>
      <c r="G273" s="179">
        <v>0</v>
      </c>
      <c r="H273" s="179"/>
      <c r="I273" s="179"/>
      <c r="J273" s="191">
        <v>0</v>
      </c>
      <c r="K273" s="191">
        <v>0</v>
      </c>
      <c r="L273" s="185" t="s">
        <v>315</v>
      </c>
      <c r="N273" s="192" t="s">
        <v>121</v>
      </c>
      <c r="O273" t="s">
        <v>320</v>
      </c>
      <c r="P273" t="s">
        <v>317</v>
      </c>
    </row>
    <row r="274" spans="2:16" ht="16.5" hidden="1" customHeight="1">
      <c r="B274" t="str">
        <f t="shared" si="17"/>
        <v>211013</v>
      </c>
      <c r="C274" s="179">
        <v>211013001428</v>
      </c>
      <c r="D274" t="s">
        <v>430</v>
      </c>
      <c r="E274" s="179"/>
      <c r="F274" s="179">
        <v>-1116.5</v>
      </c>
      <c r="G274" s="179">
        <v>0</v>
      </c>
      <c r="H274" s="179"/>
      <c r="I274" s="179"/>
      <c r="J274" s="191">
        <v>0</v>
      </c>
      <c r="K274" s="191">
        <v>0</v>
      </c>
      <c r="L274" s="185" t="s">
        <v>315</v>
      </c>
      <c r="N274" s="192" t="s">
        <v>121</v>
      </c>
      <c r="O274" t="s">
        <v>320</v>
      </c>
      <c r="P274" t="s">
        <v>317</v>
      </c>
    </row>
    <row r="275" spans="2:16" ht="16.5" hidden="1" customHeight="1">
      <c r="B275" t="str">
        <f t="shared" si="17"/>
        <v>211013</v>
      </c>
      <c r="C275" s="179">
        <v>211013001429</v>
      </c>
      <c r="D275" t="s">
        <v>431</v>
      </c>
      <c r="E275" s="179"/>
      <c r="F275" s="179">
        <v>0</v>
      </c>
      <c r="G275" s="179">
        <v>0</v>
      </c>
      <c r="H275" s="179"/>
      <c r="I275" s="179"/>
      <c r="J275" s="191">
        <v>0</v>
      </c>
      <c r="K275" s="191">
        <v>0</v>
      </c>
      <c r="L275" s="185" t="s">
        <v>315</v>
      </c>
      <c r="N275" s="192" t="s">
        <v>121</v>
      </c>
      <c r="O275" t="s">
        <v>320</v>
      </c>
      <c r="P275" t="s">
        <v>317</v>
      </c>
    </row>
    <row r="276" spans="2:16" ht="16.5" hidden="1" customHeight="1">
      <c r="B276" t="str">
        <f t="shared" si="17"/>
        <v>211013</v>
      </c>
      <c r="C276" s="179">
        <v>211013001430</v>
      </c>
      <c r="D276" t="s">
        <v>432</v>
      </c>
      <c r="E276" s="179"/>
      <c r="F276" s="179">
        <v>0</v>
      </c>
      <c r="G276" s="179">
        <v>0</v>
      </c>
      <c r="H276" s="179"/>
      <c r="I276" s="179"/>
      <c r="J276" s="191">
        <v>0</v>
      </c>
      <c r="K276" s="191">
        <v>0</v>
      </c>
      <c r="L276" s="185" t="s">
        <v>315</v>
      </c>
      <c r="N276" s="192" t="s">
        <v>121</v>
      </c>
      <c r="O276" t="s">
        <v>320</v>
      </c>
      <c r="P276" t="s">
        <v>317</v>
      </c>
    </row>
    <row r="277" spans="2:16" ht="16.5" hidden="1" customHeight="1">
      <c r="B277" t="str">
        <f t="shared" si="17"/>
        <v>211013</v>
      </c>
      <c r="C277" s="179">
        <v>211013001433</v>
      </c>
      <c r="D277" t="s">
        <v>433</v>
      </c>
      <c r="E277" s="179"/>
      <c r="F277" s="179">
        <v>-539.45000000000005</v>
      </c>
      <c r="G277" s="179">
        <v>0</v>
      </c>
      <c r="H277" s="179"/>
      <c r="I277" s="179"/>
      <c r="J277" s="191">
        <v>0</v>
      </c>
      <c r="K277" s="191">
        <v>0</v>
      </c>
      <c r="L277" s="185" t="s">
        <v>315</v>
      </c>
      <c r="N277" s="192" t="s">
        <v>121</v>
      </c>
      <c r="O277" t="s">
        <v>320</v>
      </c>
      <c r="P277" t="s">
        <v>317</v>
      </c>
    </row>
    <row r="278" spans="2:16" ht="16.5" hidden="1" customHeight="1">
      <c r="B278" t="str">
        <f t="shared" si="17"/>
        <v>211013</v>
      </c>
      <c r="C278" s="179">
        <v>211013001434</v>
      </c>
      <c r="D278" t="s">
        <v>434</v>
      </c>
      <c r="E278" s="179"/>
      <c r="F278" s="179">
        <v>0</v>
      </c>
      <c r="G278" s="179">
        <v>0</v>
      </c>
      <c r="H278" s="179"/>
      <c r="I278" s="179"/>
      <c r="J278" s="191">
        <v>0</v>
      </c>
      <c r="K278" s="191">
        <v>0</v>
      </c>
      <c r="L278" s="185" t="s">
        <v>315</v>
      </c>
      <c r="N278" s="192" t="s">
        <v>121</v>
      </c>
      <c r="O278" t="s">
        <v>320</v>
      </c>
      <c r="P278" t="s">
        <v>317</v>
      </c>
    </row>
    <row r="279" spans="2:16" ht="16.5" hidden="1" customHeight="1">
      <c r="B279" t="str">
        <f t="shared" si="17"/>
        <v>211013</v>
      </c>
      <c r="C279" s="179">
        <v>211013001435</v>
      </c>
      <c r="D279" t="s">
        <v>435</v>
      </c>
      <c r="E279" s="179"/>
      <c r="F279" s="179">
        <v>0</v>
      </c>
      <c r="G279" s="179">
        <v>0</v>
      </c>
      <c r="H279" s="179"/>
      <c r="I279" s="179"/>
      <c r="J279" s="191">
        <v>0</v>
      </c>
      <c r="K279" s="191">
        <v>0</v>
      </c>
      <c r="L279" s="185" t="s">
        <v>315</v>
      </c>
      <c r="N279" s="192" t="s">
        <v>121</v>
      </c>
      <c r="O279" t="s">
        <v>320</v>
      </c>
      <c r="P279" t="s">
        <v>317</v>
      </c>
    </row>
    <row r="280" spans="2:16" ht="16.5" hidden="1" customHeight="1">
      <c r="B280" t="str">
        <f t="shared" si="17"/>
        <v>211013</v>
      </c>
      <c r="C280" s="179">
        <v>211013001436</v>
      </c>
      <c r="D280" t="s">
        <v>436</v>
      </c>
      <c r="E280" s="179"/>
      <c r="F280" s="179">
        <v>0</v>
      </c>
      <c r="G280" s="179">
        <v>0</v>
      </c>
      <c r="H280" s="179"/>
      <c r="I280" s="179"/>
      <c r="J280" s="191">
        <v>0</v>
      </c>
      <c r="K280" s="191">
        <v>0</v>
      </c>
      <c r="L280" s="185" t="s">
        <v>315</v>
      </c>
      <c r="N280" s="192" t="s">
        <v>121</v>
      </c>
      <c r="O280" t="s">
        <v>320</v>
      </c>
      <c r="P280" t="s">
        <v>317</v>
      </c>
    </row>
    <row r="281" spans="2:16" ht="16.5" hidden="1" customHeight="1">
      <c r="B281" t="str">
        <f t="shared" si="17"/>
        <v>211013</v>
      </c>
      <c r="C281" s="179">
        <v>211013001437</v>
      </c>
      <c r="D281" t="s">
        <v>437</v>
      </c>
      <c r="E281" s="179"/>
      <c r="F281" s="179">
        <v>0</v>
      </c>
      <c r="G281" s="179">
        <v>0</v>
      </c>
      <c r="H281" s="179"/>
      <c r="I281" s="179"/>
      <c r="J281" s="191">
        <v>0</v>
      </c>
      <c r="K281" s="191">
        <v>0</v>
      </c>
      <c r="L281" s="185" t="s">
        <v>315</v>
      </c>
      <c r="N281" s="192" t="s">
        <v>121</v>
      </c>
      <c r="O281" t="s">
        <v>320</v>
      </c>
      <c r="P281" t="s">
        <v>317</v>
      </c>
    </row>
    <row r="282" spans="2:16" ht="16.5" hidden="1" customHeight="1">
      <c r="B282" t="str">
        <f t="shared" si="17"/>
        <v>211013</v>
      </c>
      <c r="C282" s="179">
        <v>211013001438</v>
      </c>
      <c r="D282" t="s">
        <v>438</v>
      </c>
      <c r="E282" s="179"/>
      <c r="F282" s="179">
        <v>0</v>
      </c>
      <c r="G282" s="179">
        <v>0</v>
      </c>
      <c r="H282" s="179"/>
      <c r="I282" s="179"/>
      <c r="J282" s="191">
        <v>0</v>
      </c>
      <c r="K282" s="191">
        <v>0</v>
      </c>
      <c r="L282" s="185" t="s">
        <v>315</v>
      </c>
      <c r="N282" s="192" t="s">
        <v>121</v>
      </c>
      <c r="O282" t="s">
        <v>320</v>
      </c>
      <c r="P282" t="s">
        <v>317</v>
      </c>
    </row>
    <row r="283" spans="2:16" ht="16.5" hidden="1" customHeight="1">
      <c r="B283" t="str">
        <f t="shared" si="17"/>
        <v>211013</v>
      </c>
      <c r="C283" s="179">
        <v>211013001439</v>
      </c>
      <c r="D283" t="s">
        <v>439</v>
      </c>
      <c r="E283" s="179"/>
      <c r="F283" s="179">
        <v>0</v>
      </c>
      <c r="G283" s="179">
        <v>0</v>
      </c>
      <c r="H283" s="179"/>
      <c r="I283" s="179"/>
      <c r="J283" s="191">
        <v>0</v>
      </c>
      <c r="K283" s="191">
        <v>0</v>
      </c>
      <c r="L283" s="185" t="s">
        <v>315</v>
      </c>
      <c r="N283" s="192" t="s">
        <v>121</v>
      </c>
      <c r="O283" t="s">
        <v>320</v>
      </c>
      <c r="P283" t="s">
        <v>317</v>
      </c>
    </row>
    <row r="284" spans="2:16" ht="16.5" hidden="1" customHeight="1">
      <c r="B284" t="str">
        <f t="shared" si="17"/>
        <v>211013</v>
      </c>
      <c r="C284" s="179">
        <v>211013001440</v>
      </c>
      <c r="D284" t="s">
        <v>440</v>
      </c>
      <c r="E284" s="179"/>
      <c r="F284" s="179">
        <v>0</v>
      </c>
      <c r="G284" s="179">
        <v>0</v>
      </c>
      <c r="H284" s="179"/>
      <c r="I284" s="179"/>
      <c r="J284" s="191">
        <v>0</v>
      </c>
      <c r="K284" s="191">
        <v>0</v>
      </c>
      <c r="L284" s="185" t="s">
        <v>315</v>
      </c>
      <c r="N284" s="192" t="s">
        <v>121</v>
      </c>
      <c r="O284" t="s">
        <v>320</v>
      </c>
      <c r="P284" t="s">
        <v>317</v>
      </c>
    </row>
    <row r="285" spans="2:16" ht="16.5" hidden="1" customHeight="1">
      <c r="B285" t="str">
        <f t="shared" si="17"/>
        <v>211013</v>
      </c>
      <c r="C285" s="179">
        <v>211013001441</v>
      </c>
      <c r="D285" t="s">
        <v>441</v>
      </c>
      <c r="E285" s="179"/>
      <c r="F285" s="179">
        <v>0</v>
      </c>
      <c r="G285" s="179">
        <v>0</v>
      </c>
      <c r="H285" s="179"/>
      <c r="I285" s="179"/>
      <c r="J285" s="191">
        <v>0</v>
      </c>
      <c r="K285" s="191">
        <v>0</v>
      </c>
      <c r="L285" s="185" t="s">
        <v>315</v>
      </c>
      <c r="N285" s="192" t="s">
        <v>121</v>
      </c>
      <c r="O285" t="s">
        <v>320</v>
      </c>
      <c r="P285" t="s">
        <v>317</v>
      </c>
    </row>
    <row r="286" spans="2:16" ht="16.5" hidden="1" customHeight="1">
      <c r="B286" t="str">
        <f t="shared" si="17"/>
        <v>211013</v>
      </c>
      <c r="C286" s="179">
        <v>211013001442</v>
      </c>
      <c r="D286" t="s">
        <v>442</v>
      </c>
      <c r="E286" s="179"/>
      <c r="F286" s="179">
        <v>0</v>
      </c>
      <c r="G286" s="179">
        <v>0</v>
      </c>
      <c r="H286" s="179"/>
      <c r="I286" s="179"/>
      <c r="J286" s="191">
        <v>0</v>
      </c>
      <c r="K286" s="191">
        <v>0</v>
      </c>
      <c r="L286" s="185" t="s">
        <v>315</v>
      </c>
      <c r="N286" s="192" t="s">
        <v>121</v>
      </c>
      <c r="O286" t="s">
        <v>320</v>
      </c>
      <c r="P286" t="s">
        <v>317</v>
      </c>
    </row>
    <row r="287" spans="2:16" ht="16.5" hidden="1" customHeight="1">
      <c r="B287" t="str">
        <f t="shared" si="17"/>
        <v>211013</v>
      </c>
      <c r="C287" s="179">
        <v>211013001443</v>
      </c>
      <c r="D287" t="s">
        <v>443</v>
      </c>
      <c r="E287" s="179"/>
      <c r="F287" s="179">
        <v>0</v>
      </c>
      <c r="G287" s="179">
        <v>0</v>
      </c>
      <c r="H287" s="179"/>
      <c r="I287" s="179"/>
      <c r="J287" s="191">
        <v>0</v>
      </c>
      <c r="K287" s="191">
        <v>0</v>
      </c>
      <c r="L287" s="185" t="s">
        <v>315</v>
      </c>
      <c r="N287" s="192" t="s">
        <v>121</v>
      </c>
      <c r="O287" t="s">
        <v>320</v>
      </c>
      <c r="P287" t="s">
        <v>317</v>
      </c>
    </row>
    <row r="288" spans="2:16" ht="16.5" hidden="1" customHeight="1">
      <c r="B288" t="str">
        <f t="shared" si="17"/>
        <v>211013</v>
      </c>
      <c r="C288" s="179">
        <v>211013001444</v>
      </c>
      <c r="D288" t="s">
        <v>444</v>
      </c>
      <c r="E288" s="179"/>
      <c r="F288" s="179">
        <v>0</v>
      </c>
      <c r="G288" s="179">
        <v>0</v>
      </c>
      <c r="H288" s="179"/>
      <c r="I288" s="179"/>
      <c r="J288" s="191">
        <v>0</v>
      </c>
      <c r="K288" s="191">
        <v>0</v>
      </c>
      <c r="L288" s="185" t="s">
        <v>315</v>
      </c>
      <c r="N288" s="192" t="s">
        <v>121</v>
      </c>
      <c r="O288" t="s">
        <v>320</v>
      </c>
      <c r="P288" t="s">
        <v>317</v>
      </c>
    </row>
    <row r="289" spans="2:16" ht="16.5" hidden="1" customHeight="1">
      <c r="B289" t="str">
        <f t="shared" si="17"/>
        <v>211013</v>
      </c>
      <c r="C289" s="179">
        <v>211013001445</v>
      </c>
      <c r="D289" t="s">
        <v>445</v>
      </c>
      <c r="E289" s="179"/>
      <c r="F289" s="179">
        <v>0</v>
      </c>
      <c r="G289" s="179">
        <v>0</v>
      </c>
      <c r="H289" s="179"/>
      <c r="I289" s="179"/>
      <c r="J289" s="191">
        <v>0</v>
      </c>
      <c r="K289" s="191">
        <v>0</v>
      </c>
      <c r="L289" s="185" t="s">
        <v>315</v>
      </c>
      <c r="N289" s="192" t="s">
        <v>121</v>
      </c>
      <c r="O289" t="s">
        <v>320</v>
      </c>
      <c r="P289" t="s">
        <v>317</v>
      </c>
    </row>
    <row r="290" spans="2:16" ht="16.5" hidden="1" customHeight="1">
      <c r="B290" t="str">
        <f t="shared" si="17"/>
        <v>211013</v>
      </c>
      <c r="C290" s="179">
        <v>211013001446</v>
      </c>
      <c r="D290" t="s">
        <v>446</v>
      </c>
      <c r="E290" s="179"/>
      <c r="F290" s="179">
        <v>0</v>
      </c>
      <c r="G290" s="179">
        <v>0</v>
      </c>
      <c r="H290" s="179"/>
      <c r="I290" s="179"/>
      <c r="J290" s="191">
        <v>0</v>
      </c>
      <c r="K290" s="191">
        <v>0</v>
      </c>
      <c r="L290" s="185" t="s">
        <v>315</v>
      </c>
      <c r="N290" s="192" t="s">
        <v>121</v>
      </c>
      <c r="O290" t="s">
        <v>320</v>
      </c>
      <c r="P290" t="s">
        <v>317</v>
      </c>
    </row>
    <row r="291" spans="2:16" ht="16.5" hidden="1" customHeight="1">
      <c r="B291" t="str">
        <f t="shared" si="17"/>
        <v>211013</v>
      </c>
      <c r="C291" s="179">
        <v>211013001447</v>
      </c>
      <c r="D291" t="s">
        <v>447</v>
      </c>
      <c r="E291" s="179"/>
      <c r="F291" s="179">
        <v>0</v>
      </c>
      <c r="G291" s="179">
        <v>0</v>
      </c>
      <c r="H291" s="179"/>
      <c r="I291" s="179"/>
      <c r="J291" s="191">
        <v>0</v>
      </c>
      <c r="K291" s="191">
        <v>0</v>
      </c>
      <c r="L291" s="185" t="s">
        <v>315</v>
      </c>
      <c r="N291" s="192" t="s">
        <v>121</v>
      </c>
      <c r="O291" t="s">
        <v>320</v>
      </c>
      <c r="P291" t="s">
        <v>317</v>
      </c>
    </row>
    <row r="292" spans="2:16" ht="16.5" hidden="1" customHeight="1">
      <c r="B292" t="str">
        <f t="shared" si="17"/>
        <v>211013</v>
      </c>
      <c r="C292" s="179">
        <v>211013001448</v>
      </c>
      <c r="D292" t="s">
        <v>448</v>
      </c>
      <c r="E292" s="179"/>
      <c r="F292" s="179">
        <v>-91.8</v>
      </c>
      <c r="G292" s="179">
        <v>0</v>
      </c>
      <c r="H292" s="179"/>
      <c r="I292" s="179"/>
      <c r="J292" s="191">
        <v>0</v>
      </c>
      <c r="K292" s="191">
        <v>0</v>
      </c>
      <c r="L292" s="185" t="s">
        <v>315</v>
      </c>
      <c r="N292" s="192" t="s">
        <v>121</v>
      </c>
      <c r="O292" t="s">
        <v>320</v>
      </c>
      <c r="P292" t="s">
        <v>317</v>
      </c>
    </row>
    <row r="293" spans="2:16" ht="16.5" hidden="1" customHeight="1">
      <c r="B293" t="str">
        <f t="shared" si="17"/>
        <v>211013</v>
      </c>
      <c r="C293" s="179">
        <v>211013001449</v>
      </c>
      <c r="D293" t="s">
        <v>449</v>
      </c>
      <c r="E293" s="179"/>
      <c r="F293" s="179">
        <v>0</v>
      </c>
      <c r="G293" s="179">
        <v>0</v>
      </c>
      <c r="H293" s="179"/>
      <c r="I293" s="179"/>
      <c r="J293" s="191">
        <v>0</v>
      </c>
      <c r="K293" s="191">
        <v>0</v>
      </c>
      <c r="L293" s="185" t="s">
        <v>315</v>
      </c>
      <c r="N293" s="192" t="s">
        <v>121</v>
      </c>
      <c r="O293" t="s">
        <v>320</v>
      </c>
      <c r="P293" t="s">
        <v>317</v>
      </c>
    </row>
    <row r="294" spans="2:16" ht="16.5" hidden="1" customHeight="1">
      <c r="B294" t="str">
        <f t="shared" si="17"/>
        <v>211013</v>
      </c>
      <c r="C294" s="179">
        <v>211013001450</v>
      </c>
      <c r="D294" t="s">
        <v>450</v>
      </c>
      <c r="E294" s="179"/>
      <c r="F294" s="179">
        <v>0</v>
      </c>
      <c r="G294" s="179">
        <v>0</v>
      </c>
      <c r="H294" s="179"/>
      <c r="I294" s="179"/>
      <c r="J294" s="191">
        <v>0</v>
      </c>
      <c r="K294" s="191">
        <v>0</v>
      </c>
      <c r="L294" s="185" t="s">
        <v>315</v>
      </c>
      <c r="N294" s="192" t="s">
        <v>121</v>
      </c>
      <c r="O294" t="s">
        <v>320</v>
      </c>
      <c r="P294" t="s">
        <v>317</v>
      </c>
    </row>
    <row r="295" spans="2:16" ht="16.5" hidden="1" customHeight="1">
      <c r="B295" t="str">
        <f t="shared" si="17"/>
        <v>211013</v>
      </c>
      <c r="C295" s="179">
        <v>211013001463</v>
      </c>
      <c r="D295" t="s">
        <v>451</v>
      </c>
      <c r="E295" s="179"/>
      <c r="F295" s="179">
        <v>-278.55</v>
      </c>
      <c r="G295" s="179">
        <v>0</v>
      </c>
      <c r="H295" s="179"/>
      <c r="I295" s="179"/>
      <c r="J295" s="191">
        <v>0</v>
      </c>
      <c r="K295" s="191">
        <v>0</v>
      </c>
      <c r="L295" s="185" t="s">
        <v>315</v>
      </c>
      <c r="N295" s="192" t="s">
        <v>121</v>
      </c>
      <c r="O295" t="s">
        <v>320</v>
      </c>
      <c r="P295" t="s">
        <v>317</v>
      </c>
    </row>
    <row r="296" spans="2:16" ht="16.5" hidden="1" customHeight="1">
      <c r="B296" t="str">
        <f t="shared" si="17"/>
        <v>211013</v>
      </c>
      <c r="C296" s="179">
        <v>211013001465</v>
      </c>
      <c r="D296" t="s">
        <v>452</v>
      </c>
      <c r="E296" s="179"/>
      <c r="F296" s="179">
        <v>-7506.2</v>
      </c>
      <c r="G296" s="179">
        <v>0</v>
      </c>
      <c r="H296" s="179"/>
      <c r="I296" s="179"/>
      <c r="J296" s="191">
        <v>0</v>
      </c>
      <c r="K296" s="191">
        <v>0</v>
      </c>
      <c r="L296" s="185" t="s">
        <v>315</v>
      </c>
      <c r="N296" s="192" t="s">
        <v>121</v>
      </c>
      <c r="O296" t="s">
        <v>320</v>
      </c>
      <c r="P296" t="s">
        <v>317</v>
      </c>
    </row>
    <row r="297" spans="2:16" ht="16.5" hidden="1" customHeight="1">
      <c r="B297" t="str">
        <f t="shared" si="17"/>
        <v>211013</v>
      </c>
      <c r="C297" s="179">
        <v>211013001475</v>
      </c>
      <c r="D297" t="s">
        <v>453</v>
      </c>
      <c r="E297" s="179"/>
      <c r="F297" s="179">
        <v>0</v>
      </c>
      <c r="G297" s="179">
        <v>0</v>
      </c>
      <c r="H297" s="179"/>
      <c r="I297" s="179"/>
      <c r="J297" s="191">
        <v>0</v>
      </c>
      <c r="K297" s="191">
        <v>0</v>
      </c>
      <c r="L297" s="185" t="s">
        <v>315</v>
      </c>
      <c r="N297" s="192" t="s">
        <v>121</v>
      </c>
      <c r="O297" t="s">
        <v>320</v>
      </c>
      <c r="P297" t="s">
        <v>317</v>
      </c>
    </row>
    <row r="298" spans="2:16" ht="16.5" hidden="1" customHeight="1">
      <c r="B298" t="str">
        <f t="shared" si="17"/>
        <v>211013</v>
      </c>
      <c r="C298" s="179">
        <v>211013001478</v>
      </c>
      <c r="D298" t="s">
        <v>454</v>
      </c>
      <c r="E298" s="179"/>
      <c r="F298" s="179">
        <v>-719.6</v>
      </c>
      <c r="G298" s="179">
        <v>0</v>
      </c>
      <c r="H298" s="179"/>
      <c r="I298" s="179"/>
      <c r="J298" s="191">
        <v>0</v>
      </c>
      <c r="K298" s="191">
        <v>0</v>
      </c>
      <c r="L298" s="185" t="s">
        <v>315</v>
      </c>
      <c r="N298" s="192" t="s">
        <v>121</v>
      </c>
      <c r="O298" t="s">
        <v>320</v>
      </c>
      <c r="P298" t="s">
        <v>317</v>
      </c>
    </row>
    <row r="299" spans="2:16" ht="16.5" hidden="1" customHeight="1">
      <c r="B299" t="str">
        <f t="shared" ref="B299:B362" si="18">LEFT(C299,6)</f>
        <v>211013</v>
      </c>
      <c r="C299" s="179">
        <v>211013001479</v>
      </c>
      <c r="D299" t="s">
        <v>455</v>
      </c>
      <c r="E299" s="179"/>
      <c r="F299" s="179">
        <v>-940.75</v>
      </c>
      <c r="G299" s="179">
        <v>0</v>
      </c>
      <c r="H299" s="179"/>
      <c r="I299" s="179"/>
      <c r="J299" s="191">
        <v>0</v>
      </c>
      <c r="K299" s="191">
        <v>0</v>
      </c>
      <c r="L299" s="185" t="s">
        <v>315</v>
      </c>
      <c r="N299" s="192" t="s">
        <v>121</v>
      </c>
      <c r="O299" t="s">
        <v>320</v>
      </c>
      <c r="P299" t="s">
        <v>317</v>
      </c>
    </row>
    <row r="300" spans="2:16" ht="16.5" hidden="1" customHeight="1">
      <c r="B300" t="str">
        <f t="shared" si="18"/>
        <v>211013</v>
      </c>
      <c r="C300" s="179">
        <v>211013001480</v>
      </c>
      <c r="D300" t="s">
        <v>456</v>
      </c>
      <c r="E300" s="179"/>
      <c r="F300" s="179">
        <v>-378</v>
      </c>
      <c r="G300" s="179">
        <v>0</v>
      </c>
      <c r="H300" s="179"/>
      <c r="I300" s="179"/>
      <c r="J300" s="191">
        <v>0</v>
      </c>
      <c r="K300" s="191">
        <v>0</v>
      </c>
      <c r="L300" s="185" t="s">
        <v>315</v>
      </c>
      <c r="N300" s="192" t="s">
        <v>121</v>
      </c>
      <c r="O300" t="s">
        <v>320</v>
      </c>
      <c r="P300" t="s">
        <v>317</v>
      </c>
    </row>
    <row r="301" spans="2:16" ht="16.5" hidden="1" customHeight="1">
      <c r="B301" t="str">
        <f t="shared" si="18"/>
        <v>211013</v>
      </c>
      <c r="C301" s="179">
        <v>211013001482</v>
      </c>
      <c r="D301" t="s">
        <v>457</v>
      </c>
      <c r="E301" s="179"/>
      <c r="F301" s="179">
        <v>-9850</v>
      </c>
      <c r="G301" s="179">
        <v>0</v>
      </c>
      <c r="H301" s="179"/>
      <c r="I301" s="179"/>
      <c r="J301" s="191">
        <v>0</v>
      </c>
      <c r="K301" s="191">
        <v>0</v>
      </c>
      <c r="L301" s="185" t="s">
        <v>315</v>
      </c>
      <c r="N301" s="192" t="s">
        <v>121</v>
      </c>
      <c r="O301" t="s">
        <v>320</v>
      </c>
      <c r="P301" t="s">
        <v>317</v>
      </c>
    </row>
    <row r="302" spans="2:16" ht="16.5" hidden="1" customHeight="1">
      <c r="B302" t="str">
        <f t="shared" si="18"/>
        <v>211013</v>
      </c>
      <c r="C302" s="179">
        <v>211013001485</v>
      </c>
      <c r="D302" t="s">
        <v>458</v>
      </c>
      <c r="E302" s="179"/>
      <c r="F302" s="179">
        <v>-3600</v>
      </c>
      <c r="G302" s="179">
        <v>0</v>
      </c>
      <c r="H302" s="179"/>
      <c r="I302" s="179"/>
      <c r="J302" s="191">
        <v>0</v>
      </c>
      <c r="K302" s="191">
        <v>0</v>
      </c>
      <c r="L302" s="185" t="s">
        <v>315</v>
      </c>
      <c r="N302" s="192" t="s">
        <v>121</v>
      </c>
      <c r="O302" t="s">
        <v>320</v>
      </c>
      <c r="P302" t="s">
        <v>317</v>
      </c>
    </row>
    <row r="303" spans="2:16" ht="16.5" hidden="1" customHeight="1">
      <c r="B303" t="str">
        <f t="shared" si="18"/>
        <v>211013</v>
      </c>
      <c r="C303" s="179">
        <v>211013001487</v>
      </c>
      <c r="D303" t="s">
        <v>459</v>
      </c>
      <c r="E303" s="179"/>
      <c r="F303" s="179">
        <v>-1750</v>
      </c>
      <c r="G303" s="179">
        <v>0</v>
      </c>
      <c r="H303" s="179"/>
      <c r="I303" s="179"/>
      <c r="J303" s="191">
        <v>0</v>
      </c>
      <c r="K303" s="191">
        <v>0</v>
      </c>
      <c r="L303" s="185" t="s">
        <v>315</v>
      </c>
      <c r="N303" s="192" t="s">
        <v>121</v>
      </c>
      <c r="O303" t="s">
        <v>320</v>
      </c>
      <c r="P303" t="s">
        <v>317</v>
      </c>
    </row>
    <row r="304" spans="2:16" ht="16.5" hidden="1" customHeight="1">
      <c r="B304" t="str">
        <f t="shared" si="18"/>
        <v>211013</v>
      </c>
      <c r="C304" s="179">
        <v>211013001493</v>
      </c>
      <c r="D304" t="s">
        <v>460</v>
      </c>
      <c r="E304" s="179"/>
      <c r="F304" s="179">
        <v>-900.67</v>
      </c>
      <c r="G304" s="179">
        <v>0</v>
      </c>
      <c r="H304" s="179"/>
      <c r="I304" s="179"/>
      <c r="J304" s="191">
        <v>0</v>
      </c>
      <c r="K304" s="191">
        <v>0</v>
      </c>
      <c r="L304" s="185" t="s">
        <v>315</v>
      </c>
      <c r="N304" s="192" t="s">
        <v>121</v>
      </c>
      <c r="O304" t="s">
        <v>320</v>
      </c>
      <c r="P304" t="s">
        <v>317</v>
      </c>
    </row>
    <row r="305" spans="2:16" ht="16.5" hidden="1" customHeight="1">
      <c r="B305" t="str">
        <f t="shared" si="18"/>
        <v>211013</v>
      </c>
      <c r="C305" s="179">
        <v>211013001497</v>
      </c>
      <c r="D305" t="s">
        <v>461</v>
      </c>
      <c r="E305" s="179"/>
      <c r="F305" s="179">
        <v>0</v>
      </c>
      <c r="G305" s="179">
        <v>0</v>
      </c>
      <c r="H305" s="179"/>
      <c r="I305" s="179"/>
      <c r="J305" s="191">
        <v>0</v>
      </c>
      <c r="K305" s="191">
        <v>0</v>
      </c>
      <c r="L305" s="185" t="s">
        <v>315</v>
      </c>
      <c r="N305" s="192" t="s">
        <v>121</v>
      </c>
      <c r="O305" t="s">
        <v>320</v>
      </c>
      <c r="P305" t="s">
        <v>317</v>
      </c>
    </row>
    <row r="306" spans="2:16" ht="16.5" hidden="1" customHeight="1">
      <c r="B306" t="str">
        <f t="shared" si="18"/>
        <v>211013</v>
      </c>
      <c r="C306" s="179">
        <v>211013001504</v>
      </c>
      <c r="D306" t="s">
        <v>462</v>
      </c>
      <c r="E306" s="179"/>
      <c r="F306" s="179">
        <v>0</v>
      </c>
      <c r="G306" s="179">
        <v>0</v>
      </c>
      <c r="H306" s="179"/>
      <c r="I306" s="179"/>
      <c r="J306" s="191">
        <v>0</v>
      </c>
      <c r="K306" s="191">
        <v>0</v>
      </c>
      <c r="L306" s="185" t="s">
        <v>315</v>
      </c>
      <c r="N306" s="192" t="s">
        <v>121</v>
      </c>
      <c r="O306" t="s">
        <v>320</v>
      </c>
      <c r="P306" t="s">
        <v>317</v>
      </c>
    </row>
    <row r="307" spans="2:16" ht="16.5" hidden="1" customHeight="1">
      <c r="B307" t="str">
        <f t="shared" si="18"/>
        <v>211013</v>
      </c>
      <c r="C307" s="179">
        <v>211013001506</v>
      </c>
      <c r="D307" t="s">
        <v>463</v>
      </c>
      <c r="E307" s="179"/>
      <c r="F307" s="179">
        <v>0</v>
      </c>
      <c r="G307" s="179">
        <v>0</v>
      </c>
      <c r="H307" s="179"/>
      <c r="I307" s="179"/>
      <c r="J307" s="191">
        <v>0</v>
      </c>
      <c r="K307" s="191">
        <v>0</v>
      </c>
      <c r="L307" s="185" t="s">
        <v>315</v>
      </c>
      <c r="N307" s="192" t="s">
        <v>121</v>
      </c>
      <c r="O307" t="s">
        <v>320</v>
      </c>
      <c r="P307" t="s">
        <v>317</v>
      </c>
    </row>
    <row r="308" spans="2:16" ht="16.5" hidden="1" customHeight="1">
      <c r="B308" t="str">
        <f t="shared" si="18"/>
        <v>211013</v>
      </c>
      <c r="C308" s="179">
        <v>211013001508</v>
      </c>
      <c r="D308" t="s">
        <v>464</v>
      </c>
      <c r="E308" s="179"/>
      <c r="F308" s="179">
        <v>-109</v>
      </c>
      <c r="G308" s="179">
        <v>0</v>
      </c>
      <c r="H308" s="179"/>
      <c r="I308" s="179"/>
      <c r="J308" s="191">
        <v>0</v>
      </c>
      <c r="K308" s="191">
        <v>0</v>
      </c>
      <c r="L308" s="185" t="s">
        <v>315</v>
      </c>
      <c r="N308" s="192" t="s">
        <v>121</v>
      </c>
      <c r="O308" t="s">
        <v>320</v>
      </c>
      <c r="P308" t="s">
        <v>317</v>
      </c>
    </row>
    <row r="309" spans="2:16" ht="16.5" hidden="1" customHeight="1">
      <c r="B309" t="str">
        <f t="shared" si="18"/>
        <v>211013</v>
      </c>
      <c r="C309" s="179">
        <v>211013001514</v>
      </c>
      <c r="D309" t="s">
        <v>465</v>
      </c>
      <c r="E309" s="179"/>
      <c r="F309" s="179">
        <v>0</v>
      </c>
      <c r="G309" s="179">
        <v>0</v>
      </c>
      <c r="H309" s="179"/>
      <c r="I309" s="179"/>
      <c r="J309" s="191">
        <v>0</v>
      </c>
      <c r="K309" s="191">
        <v>0</v>
      </c>
      <c r="L309" s="185" t="s">
        <v>315</v>
      </c>
      <c r="N309" s="192" t="s">
        <v>121</v>
      </c>
      <c r="O309" t="s">
        <v>320</v>
      </c>
      <c r="P309" t="s">
        <v>317</v>
      </c>
    </row>
    <row r="310" spans="2:16" ht="16.5" hidden="1" customHeight="1">
      <c r="B310" t="str">
        <f t="shared" si="18"/>
        <v>211013</v>
      </c>
      <c r="C310" s="179">
        <v>211013001517</v>
      </c>
      <c r="D310" t="s">
        <v>466</v>
      </c>
      <c r="E310" s="179"/>
      <c r="F310" s="179">
        <v>-2293.33</v>
      </c>
      <c r="G310" s="179">
        <v>0</v>
      </c>
      <c r="H310" s="179"/>
      <c r="I310" s="179"/>
      <c r="J310" s="191">
        <v>0</v>
      </c>
      <c r="K310" s="191">
        <v>0</v>
      </c>
      <c r="L310" s="185" t="s">
        <v>315</v>
      </c>
      <c r="N310" s="192" t="s">
        <v>121</v>
      </c>
      <c r="O310" t="s">
        <v>320</v>
      </c>
      <c r="P310" t="s">
        <v>317</v>
      </c>
    </row>
    <row r="311" spans="2:16" ht="16.5" hidden="1" customHeight="1">
      <c r="B311" t="str">
        <f t="shared" si="18"/>
        <v>211013</v>
      </c>
      <c r="C311" s="179">
        <v>211013001519</v>
      </c>
      <c r="D311" t="s">
        <v>467</v>
      </c>
      <c r="E311" s="179"/>
      <c r="F311" s="179">
        <v>-1225.3399999999999</v>
      </c>
      <c r="G311" s="179">
        <v>0</v>
      </c>
      <c r="H311" s="179"/>
      <c r="I311" s="179"/>
      <c r="J311" s="191">
        <v>0</v>
      </c>
      <c r="K311" s="191">
        <v>0</v>
      </c>
      <c r="L311" s="185" t="s">
        <v>315</v>
      </c>
      <c r="N311" s="192" t="s">
        <v>121</v>
      </c>
      <c r="O311" t="s">
        <v>320</v>
      </c>
      <c r="P311" t="s">
        <v>317</v>
      </c>
    </row>
    <row r="312" spans="2:16" ht="16.5" hidden="1" customHeight="1">
      <c r="B312" t="str">
        <f t="shared" si="18"/>
        <v>211013</v>
      </c>
      <c r="C312" s="179">
        <v>211013001522</v>
      </c>
      <c r="D312" t="s">
        <v>468</v>
      </c>
      <c r="E312" s="179"/>
      <c r="F312" s="179">
        <v>0</v>
      </c>
      <c r="G312" s="179">
        <v>0</v>
      </c>
      <c r="H312" s="179"/>
      <c r="I312" s="179"/>
      <c r="J312" s="191">
        <v>0</v>
      </c>
      <c r="K312" s="191">
        <v>0</v>
      </c>
      <c r="L312" s="185" t="s">
        <v>315</v>
      </c>
      <c r="N312" s="192" t="s">
        <v>121</v>
      </c>
      <c r="O312" t="s">
        <v>320</v>
      </c>
      <c r="P312" t="s">
        <v>317</v>
      </c>
    </row>
    <row r="313" spans="2:16" ht="16.5" hidden="1" customHeight="1">
      <c r="B313" t="str">
        <f t="shared" si="18"/>
        <v>211013</v>
      </c>
      <c r="C313" s="179">
        <v>211013001527</v>
      </c>
      <c r="D313" t="s">
        <v>469</v>
      </c>
      <c r="E313" s="179"/>
      <c r="F313" s="179">
        <v>0</v>
      </c>
      <c r="G313" s="179">
        <v>0</v>
      </c>
      <c r="H313" s="179"/>
      <c r="I313" s="179"/>
      <c r="J313" s="191">
        <v>0</v>
      </c>
      <c r="K313" s="191">
        <v>0</v>
      </c>
      <c r="L313" s="185" t="s">
        <v>315</v>
      </c>
      <c r="N313" s="192" t="s">
        <v>121</v>
      </c>
      <c r="O313" t="s">
        <v>320</v>
      </c>
      <c r="P313" t="s">
        <v>317</v>
      </c>
    </row>
    <row r="314" spans="2:16" ht="16.5" hidden="1" customHeight="1">
      <c r="B314" t="str">
        <f t="shared" si="18"/>
        <v>211013</v>
      </c>
      <c r="C314" s="179">
        <v>211013001528</v>
      </c>
      <c r="D314" t="s">
        <v>470</v>
      </c>
      <c r="E314" s="179"/>
      <c r="F314" s="179">
        <v>0</v>
      </c>
      <c r="G314" s="179">
        <v>0</v>
      </c>
      <c r="H314" s="179"/>
      <c r="I314" s="179"/>
      <c r="J314" s="191">
        <v>0</v>
      </c>
      <c r="K314" s="191">
        <v>0</v>
      </c>
      <c r="L314" s="185" t="s">
        <v>315</v>
      </c>
      <c r="N314" s="192" t="s">
        <v>121</v>
      </c>
      <c r="O314" t="s">
        <v>320</v>
      </c>
      <c r="P314" t="s">
        <v>317</v>
      </c>
    </row>
    <row r="315" spans="2:16" ht="16.5" hidden="1" customHeight="1">
      <c r="B315" t="str">
        <f t="shared" si="18"/>
        <v>211013</v>
      </c>
      <c r="C315" s="179">
        <v>211013001529</v>
      </c>
      <c r="D315" t="s">
        <v>471</v>
      </c>
      <c r="E315" s="179"/>
      <c r="F315" s="179">
        <v>0</v>
      </c>
      <c r="G315" s="179">
        <v>0</v>
      </c>
      <c r="H315" s="179"/>
      <c r="I315" s="179"/>
      <c r="J315" s="191">
        <v>0</v>
      </c>
      <c r="K315" s="191">
        <v>0</v>
      </c>
      <c r="L315" s="185" t="s">
        <v>315</v>
      </c>
      <c r="N315" s="192" t="s">
        <v>121</v>
      </c>
      <c r="O315" t="s">
        <v>320</v>
      </c>
      <c r="P315" t="s">
        <v>317</v>
      </c>
    </row>
    <row r="316" spans="2:16" ht="16.5" hidden="1" customHeight="1">
      <c r="B316" t="str">
        <f t="shared" si="18"/>
        <v>211013</v>
      </c>
      <c r="C316" s="179">
        <v>211013001530</v>
      </c>
      <c r="D316" t="s">
        <v>472</v>
      </c>
      <c r="E316" s="179"/>
      <c r="F316" s="179">
        <v>0</v>
      </c>
      <c r="G316" s="179">
        <v>0</v>
      </c>
      <c r="H316" s="179"/>
      <c r="I316" s="179"/>
      <c r="J316" s="191">
        <v>0</v>
      </c>
      <c r="K316" s="191">
        <v>0</v>
      </c>
      <c r="L316" s="185" t="s">
        <v>315</v>
      </c>
      <c r="N316" s="192" t="s">
        <v>121</v>
      </c>
      <c r="O316" t="s">
        <v>320</v>
      </c>
      <c r="P316" t="s">
        <v>317</v>
      </c>
    </row>
    <row r="317" spans="2:16" ht="16.5" hidden="1" customHeight="1">
      <c r="B317" t="str">
        <f t="shared" si="18"/>
        <v>211013</v>
      </c>
      <c r="C317" s="179">
        <v>211013001531</v>
      </c>
      <c r="D317" t="s">
        <v>473</v>
      </c>
      <c r="E317" s="179"/>
      <c r="F317" s="179">
        <v>0</v>
      </c>
      <c r="G317" s="179">
        <v>0</v>
      </c>
      <c r="H317" s="179"/>
      <c r="I317" s="179"/>
      <c r="J317" s="191">
        <v>0</v>
      </c>
      <c r="K317" s="191">
        <v>0</v>
      </c>
      <c r="L317" s="185" t="s">
        <v>315</v>
      </c>
      <c r="N317" s="192" t="s">
        <v>121</v>
      </c>
      <c r="O317" t="s">
        <v>320</v>
      </c>
      <c r="P317" t="s">
        <v>317</v>
      </c>
    </row>
    <row r="318" spans="2:16" ht="16.5" hidden="1" customHeight="1">
      <c r="B318" t="str">
        <f t="shared" si="18"/>
        <v>211013</v>
      </c>
      <c r="C318" s="179">
        <v>211013001536</v>
      </c>
      <c r="D318" t="s">
        <v>474</v>
      </c>
      <c r="E318" s="179"/>
      <c r="F318" s="179">
        <v>-4125</v>
      </c>
      <c r="G318" s="179">
        <v>0</v>
      </c>
      <c r="H318" s="179"/>
      <c r="I318" s="179"/>
      <c r="J318" s="191">
        <v>0</v>
      </c>
      <c r="K318" s="191">
        <v>0</v>
      </c>
      <c r="L318" s="185" t="s">
        <v>315</v>
      </c>
      <c r="N318" s="192" t="s">
        <v>121</v>
      </c>
      <c r="O318" t="s">
        <v>320</v>
      </c>
      <c r="P318" t="s">
        <v>317</v>
      </c>
    </row>
    <row r="319" spans="2:16" ht="16.5" hidden="1" customHeight="1">
      <c r="B319" t="str">
        <f t="shared" si="18"/>
        <v>211013</v>
      </c>
      <c r="C319" s="179">
        <v>211013001538</v>
      </c>
      <c r="D319" t="s">
        <v>475</v>
      </c>
      <c r="E319" s="179"/>
      <c r="F319" s="179">
        <v>-1920</v>
      </c>
      <c r="G319" s="179">
        <v>0</v>
      </c>
      <c r="H319" s="179"/>
      <c r="I319" s="179"/>
      <c r="J319" s="191">
        <v>0</v>
      </c>
      <c r="K319" s="191">
        <v>0</v>
      </c>
      <c r="L319" s="185" t="s">
        <v>315</v>
      </c>
      <c r="N319" s="192" t="s">
        <v>121</v>
      </c>
      <c r="O319" t="s">
        <v>320</v>
      </c>
      <c r="P319" t="s">
        <v>317</v>
      </c>
    </row>
    <row r="320" spans="2:16" ht="16.5" hidden="1" customHeight="1">
      <c r="B320" t="str">
        <f t="shared" si="18"/>
        <v>211013</v>
      </c>
      <c r="C320" s="179">
        <v>211013001539</v>
      </c>
      <c r="D320" t="s">
        <v>476</v>
      </c>
      <c r="E320" s="179"/>
      <c r="F320" s="179">
        <v>0</v>
      </c>
      <c r="G320" s="179">
        <v>0</v>
      </c>
      <c r="H320" s="179"/>
      <c r="I320" s="179"/>
      <c r="J320" s="191">
        <v>0</v>
      </c>
      <c r="K320" s="191">
        <v>0</v>
      </c>
      <c r="L320" s="185" t="s">
        <v>315</v>
      </c>
      <c r="N320" s="192" t="s">
        <v>121</v>
      </c>
      <c r="O320" t="s">
        <v>320</v>
      </c>
      <c r="P320" t="s">
        <v>317</v>
      </c>
    </row>
    <row r="321" spans="2:16" ht="16.5" hidden="1" customHeight="1">
      <c r="B321" t="str">
        <f t="shared" si="18"/>
        <v>211013</v>
      </c>
      <c r="C321" s="179">
        <v>211013001540</v>
      </c>
      <c r="D321" t="s">
        <v>477</v>
      </c>
      <c r="E321" s="179"/>
      <c r="F321" s="179">
        <v>-2877.05</v>
      </c>
      <c r="G321" s="179">
        <v>0</v>
      </c>
      <c r="H321" s="179"/>
      <c r="I321" s="179"/>
      <c r="J321" s="191">
        <v>0</v>
      </c>
      <c r="K321" s="191">
        <v>0</v>
      </c>
      <c r="L321" s="185" t="s">
        <v>315</v>
      </c>
      <c r="N321" s="192" t="s">
        <v>121</v>
      </c>
      <c r="O321" t="s">
        <v>320</v>
      </c>
      <c r="P321" t="s">
        <v>317</v>
      </c>
    </row>
    <row r="322" spans="2:16" ht="16.5" hidden="1" customHeight="1">
      <c r="B322" t="str">
        <f t="shared" si="18"/>
        <v>211013</v>
      </c>
      <c r="C322" s="179">
        <v>211013001541</v>
      </c>
      <c r="D322" t="s">
        <v>478</v>
      </c>
      <c r="E322" s="179"/>
      <c r="F322" s="179">
        <v>-400</v>
      </c>
      <c r="G322" s="179">
        <v>0</v>
      </c>
      <c r="H322" s="179"/>
      <c r="I322" s="179"/>
      <c r="J322" s="191">
        <v>0</v>
      </c>
      <c r="K322" s="191">
        <v>0</v>
      </c>
      <c r="L322" s="185" t="s">
        <v>315</v>
      </c>
      <c r="N322" s="192" t="s">
        <v>121</v>
      </c>
      <c r="O322" t="s">
        <v>320</v>
      </c>
      <c r="P322" t="s">
        <v>317</v>
      </c>
    </row>
    <row r="323" spans="2:16" ht="16.5" hidden="1" customHeight="1">
      <c r="B323" t="str">
        <f t="shared" si="18"/>
        <v>211013</v>
      </c>
      <c r="C323" s="179">
        <v>211013001542</v>
      </c>
      <c r="D323" t="s">
        <v>479</v>
      </c>
      <c r="E323" s="179"/>
      <c r="F323" s="179">
        <v>-1800</v>
      </c>
      <c r="G323" s="179">
        <v>0</v>
      </c>
      <c r="H323" s="179"/>
      <c r="I323" s="179"/>
      <c r="J323" s="191">
        <v>0</v>
      </c>
      <c r="K323" s="191">
        <v>0</v>
      </c>
      <c r="L323" s="185" t="s">
        <v>315</v>
      </c>
      <c r="N323" s="192" t="s">
        <v>121</v>
      </c>
      <c r="O323" t="s">
        <v>320</v>
      </c>
      <c r="P323" t="s">
        <v>317</v>
      </c>
    </row>
    <row r="324" spans="2:16" ht="16.5" hidden="1" customHeight="1">
      <c r="B324" t="str">
        <f t="shared" si="18"/>
        <v>211013</v>
      </c>
      <c r="C324" s="179">
        <v>211013001543</v>
      </c>
      <c r="D324" t="s">
        <v>480</v>
      </c>
      <c r="E324" s="179"/>
      <c r="F324" s="179">
        <v>0</v>
      </c>
      <c r="G324" s="179">
        <v>0</v>
      </c>
      <c r="H324" s="179"/>
      <c r="I324" s="179"/>
      <c r="J324" s="191">
        <v>0</v>
      </c>
      <c r="K324" s="191">
        <v>0</v>
      </c>
      <c r="L324" s="185" t="s">
        <v>315</v>
      </c>
      <c r="N324" s="192" t="s">
        <v>121</v>
      </c>
      <c r="O324" t="s">
        <v>320</v>
      </c>
      <c r="P324" t="s">
        <v>317</v>
      </c>
    </row>
    <row r="325" spans="2:16" ht="16.5" hidden="1" customHeight="1">
      <c r="B325" t="str">
        <f t="shared" si="18"/>
        <v>211013</v>
      </c>
      <c r="C325" s="179">
        <v>211013001544</v>
      </c>
      <c r="D325" t="s">
        <v>481</v>
      </c>
      <c r="E325" s="179"/>
      <c r="F325" s="179">
        <v>-1260</v>
      </c>
      <c r="G325" s="179">
        <v>0</v>
      </c>
      <c r="H325" s="179"/>
      <c r="I325" s="179"/>
      <c r="J325" s="191">
        <v>0</v>
      </c>
      <c r="K325" s="191">
        <v>0</v>
      </c>
      <c r="L325" s="185" t="s">
        <v>315</v>
      </c>
      <c r="N325" s="192" t="s">
        <v>121</v>
      </c>
      <c r="O325" t="s">
        <v>320</v>
      </c>
      <c r="P325" t="s">
        <v>317</v>
      </c>
    </row>
    <row r="326" spans="2:16" ht="16.5" hidden="1" customHeight="1">
      <c r="B326" t="str">
        <f t="shared" si="18"/>
        <v>211013</v>
      </c>
      <c r="C326" s="179">
        <v>211013001545</v>
      </c>
      <c r="D326" t="s">
        <v>482</v>
      </c>
      <c r="E326" s="179"/>
      <c r="F326" s="179">
        <v>-23625</v>
      </c>
      <c r="G326" s="179">
        <v>0</v>
      </c>
      <c r="H326" s="179"/>
      <c r="I326" s="179"/>
      <c r="J326" s="191">
        <v>0</v>
      </c>
      <c r="K326" s="191">
        <v>0</v>
      </c>
      <c r="L326" s="185" t="s">
        <v>315</v>
      </c>
      <c r="N326" s="192" t="s">
        <v>121</v>
      </c>
      <c r="O326" t="s">
        <v>320</v>
      </c>
      <c r="P326" t="s">
        <v>483</v>
      </c>
    </row>
    <row r="327" spans="2:16" ht="16.5" hidden="1" customHeight="1">
      <c r="B327" t="str">
        <f t="shared" si="18"/>
        <v>211013</v>
      </c>
      <c r="C327" s="179">
        <v>211013001546</v>
      </c>
      <c r="D327" t="s">
        <v>484</v>
      </c>
      <c r="E327" s="179"/>
      <c r="F327" s="179">
        <v>-6096</v>
      </c>
      <c r="G327" s="179">
        <v>-158.80000000000001</v>
      </c>
      <c r="H327" s="179"/>
      <c r="I327" s="179"/>
      <c r="J327" s="191">
        <v>0</v>
      </c>
      <c r="K327" s="191">
        <v>0</v>
      </c>
      <c r="L327" s="185" t="s">
        <v>315</v>
      </c>
      <c r="N327" s="192" t="s">
        <v>121</v>
      </c>
      <c r="O327" t="s">
        <v>320</v>
      </c>
      <c r="P327" t="s">
        <v>317</v>
      </c>
    </row>
    <row r="328" spans="2:16" ht="16.5" hidden="1" customHeight="1">
      <c r="B328" t="str">
        <f t="shared" si="18"/>
        <v>211013</v>
      </c>
      <c r="C328" s="179">
        <v>211013001999</v>
      </c>
      <c r="D328" t="s">
        <v>485</v>
      </c>
      <c r="E328" s="179"/>
      <c r="F328" s="179">
        <v>1039798.79</v>
      </c>
      <c r="G328" s="179">
        <v>0</v>
      </c>
      <c r="H328" s="179"/>
      <c r="I328" s="179"/>
      <c r="J328" s="191">
        <v>0</v>
      </c>
      <c r="K328" s="191">
        <v>-7243.77</v>
      </c>
      <c r="L328" s="185" t="s">
        <v>315</v>
      </c>
      <c r="N328" s="192" t="s">
        <v>121</v>
      </c>
      <c r="O328" t="s">
        <v>320</v>
      </c>
      <c r="P328" t="s">
        <v>317</v>
      </c>
    </row>
    <row r="329" spans="2:16" ht="16.5" hidden="1" customHeight="1">
      <c r="B329" t="str">
        <f t="shared" si="18"/>
        <v>211013</v>
      </c>
      <c r="C329" s="179">
        <v>211013002001</v>
      </c>
      <c r="D329" t="s">
        <v>486</v>
      </c>
      <c r="E329" s="179"/>
      <c r="F329" s="179">
        <v>-7372114.8600000003</v>
      </c>
      <c r="G329" s="179">
        <v>-2047.77</v>
      </c>
      <c r="H329" s="179"/>
      <c r="I329" s="179"/>
      <c r="J329" s="191">
        <v>0</v>
      </c>
      <c r="K329" s="191">
        <v>-751.39</v>
      </c>
      <c r="L329" s="185" t="s">
        <v>315</v>
      </c>
      <c r="N329" s="192" t="s">
        <v>121</v>
      </c>
      <c r="O329" t="s">
        <v>320</v>
      </c>
      <c r="P329" t="s">
        <v>317</v>
      </c>
    </row>
    <row r="330" spans="2:16" ht="16.5" hidden="1" customHeight="1">
      <c r="B330" t="str">
        <f t="shared" si="18"/>
        <v>211013</v>
      </c>
      <c r="C330" s="179">
        <v>211013101003</v>
      </c>
      <c r="D330" t="s">
        <v>487</v>
      </c>
      <c r="E330" s="179"/>
      <c r="F330" s="179"/>
      <c r="G330" s="179">
        <v>-538.91999999999996</v>
      </c>
      <c r="H330" s="179"/>
      <c r="I330" s="179"/>
      <c r="J330" s="191">
        <v>0</v>
      </c>
      <c r="K330" s="191">
        <v>0</v>
      </c>
      <c r="L330" s="185" t="s">
        <v>315</v>
      </c>
      <c r="N330" s="192" t="s">
        <v>121</v>
      </c>
      <c r="O330" t="s">
        <v>320</v>
      </c>
      <c r="P330" t="s">
        <v>317</v>
      </c>
    </row>
    <row r="331" spans="2:16" ht="16.5" hidden="1" customHeight="1">
      <c r="B331" t="str">
        <f t="shared" si="18"/>
        <v>211013</v>
      </c>
      <c r="C331" s="179">
        <v>211013101007</v>
      </c>
      <c r="D331" t="s">
        <v>328</v>
      </c>
      <c r="E331" s="179"/>
      <c r="F331" s="179"/>
      <c r="G331" s="179">
        <v>-1113.18</v>
      </c>
      <c r="H331" s="179"/>
      <c r="I331" s="179"/>
      <c r="J331" s="191">
        <v>-8122.51</v>
      </c>
      <c r="K331" s="191">
        <v>0</v>
      </c>
      <c r="L331" s="185" t="s">
        <v>315</v>
      </c>
      <c r="N331" s="192" t="s">
        <v>121</v>
      </c>
      <c r="O331" t="s">
        <v>320</v>
      </c>
      <c r="P331" t="s">
        <v>317</v>
      </c>
    </row>
    <row r="332" spans="2:16" ht="16.5" hidden="1" customHeight="1">
      <c r="B332" t="str">
        <f t="shared" si="18"/>
        <v>211013</v>
      </c>
      <c r="C332" s="179">
        <v>211013101008</v>
      </c>
      <c r="D332" t="s">
        <v>488</v>
      </c>
      <c r="E332" s="179"/>
      <c r="F332" s="179"/>
      <c r="G332" s="179">
        <v>719.4</v>
      </c>
      <c r="H332" s="179"/>
      <c r="I332" s="179"/>
      <c r="J332" s="191">
        <v>0</v>
      </c>
      <c r="K332" s="191">
        <v>0</v>
      </c>
      <c r="L332" s="185" t="s">
        <v>315</v>
      </c>
      <c r="N332" s="192" t="s">
        <v>121</v>
      </c>
      <c r="O332" t="s">
        <v>320</v>
      </c>
      <c r="P332" t="s">
        <v>317</v>
      </c>
    </row>
    <row r="333" spans="2:16" ht="16.5" hidden="1" customHeight="1">
      <c r="B333" t="str">
        <f t="shared" si="18"/>
        <v>211013</v>
      </c>
      <c r="C333" s="179">
        <v>211013101010</v>
      </c>
      <c r="D333" t="s">
        <v>489</v>
      </c>
      <c r="E333" s="179"/>
      <c r="F333" s="179"/>
      <c r="G333" s="179">
        <v>-719.4</v>
      </c>
      <c r="H333" s="179"/>
      <c r="I333" s="179"/>
      <c r="J333" s="191">
        <v>0</v>
      </c>
      <c r="K333" s="191">
        <v>0</v>
      </c>
      <c r="L333" s="185" t="s">
        <v>315</v>
      </c>
      <c r="N333" s="192" t="s">
        <v>121</v>
      </c>
      <c r="O333" t="s">
        <v>320</v>
      </c>
      <c r="P333" t="s">
        <v>317</v>
      </c>
    </row>
    <row r="334" spans="2:16" ht="16.5" hidden="1" customHeight="1">
      <c r="B334" t="str">
        <f t="shared" si="18"/>
        <v>211013</v>
      </c>
      <c r="C334" s="179">
        <v>211013101011</v>
      </c>
      <c r="D334" t="s">
        <v>490</v>
      </c>
      <c r="E334" s="179"/>
      <c r="F334" s="179"/>
      <c r="G334" s="179">
        <v>-12379.25</v>
      </c>
      <c r="H334" s="179"/>
      <c r="I334" s="179"/>
      <c r="J334" s="191">
        <v>0</v>
      </c>
      <c r="K334" s="191">
        <v>-12387.55</v>
      </c>
      <c r="L334" s="185" t="s">
        <v>315</v>
      </c>
      <c r="N334" s="192" t="s">
        <v>121</v>
      </c>
      <c r="O334" t="s">
        <v>320</v>
      </c>
      <c r="P334" t="s">
        <v>317</v>
      </c>
    </row>
    <row r="335" spans="2:16" ht="16.5" hidden="1" customHeight="1">
      <c r="B335" t="str">
        <f t="shared" si="18"/>
        <v>211013</v>
      </c>
      <c r="C335" s="179">
        <v>211013101012</v>
      </c>
      <c r="D335" t="s">
        <v>491</v>
      </c>
      <c r="E335" s="179"/>
      <c r="F335" s="179"/>
      <c r="G335" s="179">
        <v>-719.4</v>
      </c>
      <c r="H335" s="179"/>
      <c r="I335" s="179"/>
      <c r="J335" s="191">
        <v>-1283.5</v>
      </c>
      <c r="K335" s="191">
        <v>-59</v>
      </c>
      <c r="L335" s="185" t="s">
        <v>315</v>
      </c>
      <c r="N335" s="192" t="s">
        <v>121</v>
      </c>
      <c r="O335" t="s">
        <v>320</v>
      </c>
      <c r="P335" t="s">
        <v>317</v>
      </c>
    </row>
    <row r="336" spans="2:16" ht="16.5" hidden="1" customHeight="1">
      <c r="B336" t="str">
        <f t="shared" si="18"/>
        <v>211013</v>
      </c>
      <c r="C336" s="179">
        <v>211013101017</v>
      </c>
      <c r="D336" t="s">
        <v>492</v>
      </c>
      <c r="E336" s="179"/>
      <c r="F336" s="179"/>
      <c r="G336" s="179">
        <v>-2400</v>
      </c>
      <c r="H336" s="179"/>
      <c r="I336" s="179"/>
      <c r="J336" s="191">
        <v>0</v>
      </c>
      <c r="K336" s="191">
        <v>0</v>
      </c>
      <c r="L336" s="185" t="s">
        <v>315</v>
      </c>
      <c r="N336" s="192" t="s">
        <v>121</v>
      </c>
      <c r="O336" t="s">
        <v>320</v>
      </c>
      <c r="P336" t="s">
        <v>317</v>
      </c>
    </row>
    <row r="337" spans="2:16" ht="16.5" hidden="1" customHeight="1">
      <c r="B337" t="str">
        <f t="shared" si="18"/>
        <v>211013</v>
      </c>
      <c r="C337" s="179">
        <v>211013101022</v>
      </c>
      <c r="D337" t="s">
        <v>493</v>
      </c>
      <c r="E337" s="179"/>
      <c r="F337" s="179"/>
      <c r="G337" s="179">
        <v>-9750.86</v>
      </c>
      <c r="H337" s="179"/>
      <c r="I337" s="179"/>
      <c r="J337" s="191">
        <v>-33128.11</v>
      </c>
      <c r="K337" s="191">
        <v>-9750.86</v>
      </c>
      <c r="L337" s="185" t="s">
        <v>315</v>
      </c>
      <c r="N337" s="192" t="s">
        <v>121</v>
      </c>
      <c r="O337" t="s">
        <v>320</v>
      </c>
      <c r="P337" t="s">
        <v>317</v>
      </c>
    </row>
    <row r="338" spans="2:16" ht="16.5" hidden="1" customHeight="1">
      <c r="B338" t="str">
        <f t="shared" si="18"/>
        <v>211013</v>
      </c>
      <c r="C338" s="179">
        <v>211013101024</v>
      </c>
      <c r="D338" t="s">
        <v>494</v>
      </c>
      <c r="E338" s="179"/>
      <c r="F338" s="179"/>
      <c r="G338" s="179">
        <v>-5794514.8499999996</v>
      </c>
      <c r="H338" s="179"/>
      <c r="I338" s="179"/>
      <c r="J338" s="191">
        <v>-59</v>
      </c>
      <c r="K338" s="191">
        <v>0</v>
      </c>
      <c r="L338" s="185" t="s">
        <v>315</v>
      </c>
      <c r="N338" s="192" t="s">
        <v>121</v>
      </c>
      <c r="O338" t="s">
        <v>320</v>
      </c>
      <c r="P338" t="s">
        <v>340</v>
      </c>
    </row>
    <row r="339" spans="2:16" ht="16.5" hidden="1" customHeight="1">
      <c r="B339" t="str">
        <f t="shared" si="18"/>
        <v>211013</v>
      </c>
      <c r="C339" s="179">
        <v>211013101031</v>
      </c>
      <c r="D339" t="s">
        <v>339</v>
      </c>
      <c r="E339" s="179"/>
      <c r="F339" s="179"/>
      <c r="G339" s="179">
        <v>-1882.19</v>
      </c>
      <c r="H339" s="179"/>
      <c r="I339" s="179"/>
      <c r="J339" s="191">
        <v>0</v>
      </c>
      <c r="K339" s="191">
        <v>-1882.19</v>
      </c>
      <c r="L339" s="185" t="s">
        <v>315</v>
      </c>
      <c r="N339" s="192" t="s">
        <v>121</v>
      </c>
      <c r="O339" t="s">
        <v>320</v>
      </c>
      <c r="P339" t="s">
        <v>317</v>
      </c>
    </row>
    <row r="340" spans="2:16" ht="16.5" hidden="1" customHeight="1">
      <c r="B340" t="str">
        <f t="shared" si="18"/>
        <v>211013</v>
      </c>
      <c r="C340" s="179">
        <v>211013101034</v>
      </c>
      <c r="D340" t="s">
        <v>341</v>
      </c>
      <c r="E340" s="179"/>
      <c r="F340" s="179"/>
      <c r="G340" s="179">
        <v>0</v>
      </c>
      <c r="H340" s="179"/>
      <c r="I340" s="179"/>
      <c r="J340" s="191">
        <v>-9750.86</v>
      </c>
      <c r="K340" s="191">
        <v>0</v>
      </c>
      <c r="L340" s="185" t="s">
        <v>315</v>
      </c>
      <c r="N340" s="192" t="s">
        <v>121</v>
      </c>
      <c r="O340" t="s">
        <v>320</v>
      </c>
      <c r="P340" t="s">
        <v>317</v>
      </c>
    </row>
    <row r="341" spans="2:16" ht="16.5" hidden="1" customHeight="1">
      <c r="B341" t="str">
        <f t="shared" si="18"/>
        <v>211013</v>
      </c>
      <c r="C341" s="179">
        <v>211013101038</v>
      </c>
      <c r="D341" t="s">
        <v>495</v>
      </c>
      <c r="E341" s="179"/>
      <c r="F341" s="179"/>
      <c r="G341" s="179">
        <v>-944.2</v>
      </c>
      <c r="H341" s="179"/>
      <c r="I341" s="179"/>
      <c r="J341" s="191">
        <v>0</v>
      </c>
      <c r="K341" s="191">
        <v>0</v>
      </c>
      <c r="L341" s="185" t="s">
        <v>315</v>
      </c>
      <c r="N341" s="192" t="s">
        <v>121</v>
      </c>
      <c r="O341" t="s">
        <v>320</v>
      </c>
      <c r="P341" t="s">
        <v>317</v>
      </c>
    </row>
    <row r="342" spans="2:16" ht="16.5" hidden="1" customHeight="1">
      <c r="B342" t="str">
        <f t="shared" si="18"/>
        <v>211013</v>
      </c>
      <c r="C342" s="179">
        <v>211013101040</v>
      </c>
      <c r="D342" t="s">
        <v>496</v>
      </c>
      <c r="E342" s="179"/>
      <c r="F342" s="179"/>
      <c r="G342" s="179">
        <v>0</v>
      </c>
      <c r="H342" s="179"/>
      <c r="I342" s="179"/>
      <c r="J342" s="191">
        <v>-1882.19</v>
      </c>
      <c r="K342" s="191">
        <v>0</v>
      </c>
      <c r="L342" s="185" t="s">
        <v>315</v>
      </c>
      <c r="N342" s="192" t="s">
        <v>121</v>
      </c>
      <c r="O342" t="s">
        <v>320</v>
      </c>
      <c r="P342" t="s">
        <v>317</v>
      </c>
    </row>
    <row r="343" spans="2:16" ht="16.5" hidden="1" customHeight="1">
      <c r="B343" t="str">
        <f t="shared" si="18"/>
        <v>211013</v>
      </c>
      <c r="C343" s="179">
        <v>211013101041</v>
      </c>
      <c r="D343" t="s">
        <v>345</v>
      </c>
      <c r="E343" s="179"/>
      <c r="F343" s="179"/>
      <c r="G343" s="179">
        <v>0</v>
      </c>
      <c r="H343" s="179"/>
      <c r="I343" s="179"/>
      <c r="J343" s="191">
        <v>0</v>
      </c>
      <c r="K343" s="191">
        <v>-3257.07</v>
      </c>
      <c r="L343" s="185" t="s">
        <v>315</v>
      </c>
      <c r="N343" s="192" t="s">
        <v>121</v>
      </c>
      <c r="O343" t="s">
        <v>320</v>
      </c>
      <c r="P343" t="s">
        <v>317</v>
      </c>
    </row>
    <row r="344" spans="2:16" ht="16.5" hidden="1" customHeight="1">
      <c r="B344" t="str">
        <f t="shared" si="18"/>
        <v>211013</v>
      </c>
      <c r="C344" s="179">
        <v>211013101044</v>
      </c>
      <c r="D344" t="s">
        <v>346</v>
      </c>
      <c r="E344" s="179"/>
      <c r="F344" s="179"/>
      <c r="G344" s="179">
        <v>0</v>
      </c>
      <c r="H344" s="179"/>
      <c r="I344" s="179"/>
      <c r="J344" s="191">
        <v>0</v>
      </c>
      <c r="K344" s="191">
        <v>-4254.34</v>
      </c>
      <c r="L344" s="185" t="s">
        <v>315</v>
      </c>
      <c r="N344" s="192" t="s">
        <v>121</v>
      </c>
      <c r="O344" t="s">
        <v>320</v>
      </c>
      <c r="P344" t="s">
        <v>317</v>
      </c>
    </row>
    <row r="345" spans="2:16" ht="16.5" hidden="1" customHeight="1">
      <c r="B345" t="str">
        <f t="shared" si="18"/>
        <v>211013</v>
      </c>
      <c r="C345" s="179">
        <v>211013101046</v>
      </c>
      <c r="D345" t="s">
        <v>348</v>
      </c>
      <c r="E345" s="179"/>
      <c r="F345" s="179"/>
      <c r="G345" s="179">
        <v>0</v>
      </c>
      <c r="H345" s="179"/>
      <c r="I345" s="179"/>
      <c r="J345" s="191">
        <v>0</v>
      </c>
      <c r="K345" s="191">
        <v>0</v>
      </c>
      <c r="L345" s="185" t="s">
        <v>315</v>
      </c>
      <c r="N345" s="192" t="s">
        <v>121</v>
      </c>
      <c r="O345" t="s">
        <v>320</v>
      </c>
      <c r="P345" t="s">
        <v>317</v>
      </c>
    </row>
    <row r="346" spans="2:16" ht="16.5" hidden="1" customHeight="1">
      <c r="B346" t="str">
        <f t="shared" si="18"/>
        <v>211013</v>
      </c>
      <c r="C346" s="179">
        <v>211013101048</v>
      </c>
      <c r="D346" t="s">
        <v>497</v>
      </c>
      <c r="E346" s="179"/>
      <c r="F346" s="179"/>
      <c r="G346" s="179">
        <v>-500.5</v>
      </c>
      <c r="H346" s="179"/>
      <c r="I346" s="179"/>
      <c r="J346" s="191">
        <v>-3257.07</v>
      </c>
      <c r="K346" s="191">
        <v>0</v>
      </c>
      <c r="L346" s="185" t="s">
        <v>315</v>
      </c>
      <c r="N346" s="192" t="s">
        <v>121</v>
      </c>
      <c r="O346" t="s">
        <v>320</v>
      </c>
      <c r="P346" t="s">
        <v>317</v>
      </c>
    </row>
    <row r="347" spans="2:16" ht="16.5" hidden="1" customHeight="1">
      <c r="B347" t="str">
        <f t="shared" si="18"/>
        <v>211013</v>
      </c>
      <c r="C347" s="179">
        <v>211013101049</v>
      </c>
      <c r="D347" t="s">
        <v>498</v>
      </c>
      <c r="E347" s="179"/>
      <c r="F347" s="179"/>
      <c r="G347" s="179">
        <v>0</v>
      </c>
      <c r="H347" s="179"/>
      <c r="I347" s="179"/>
      <c r="J347" s="191">
        <v>-3015</v>
      </c>
      <c r="K347" s="191">
        <v>0</v>
      </c>
      <c r="L347" s="185" t="s">
        <v>315</v>
      </c>
      <c r="N347" s="192" t="s">
        <v>121</v>
      </c>
      <c r="O347" t="s">
        <v>320</v>
      </c>
      <c r="P347" t="s">
        <v>317</v>
      </c>
    </row>
    <row r="348" spans="2:16" ht="16.5" hidden="1" customHeight="1">
      <c r="B348" t="str">
        <f t="shared" si="18"/>
        <v>211013</v>
      </c>
      <c r="C348" s="179">
        <v>211013101056</v>
      </c>
      <c r="D348" t="s">
        <v>499</v>
      </c>
      <c r="E348" s="179"/>
      <c r="F348" s="179"/>
      <c r="G348" s="179">
        <v>-39.700000000000003</v>
      </c>
      <c r="H348" s="179"/>
      <c r="I348" s="179"/>
      <c r="J348" s="191">
        <v>0</v>
      </c>
      <c r="K348" s="191">
        <v>0</v>
      </c>
      <c r="L348" s="185" t="s">
        <v>315</v>
      </c>
      <c r="N348" s="192" t="s">
        <v>121</v>
      </c>
      <c r="O348" t="s">
        <v>320</v>
      </c>
      <c r="P348" t="s">
        <v>317</v>
      </c>
    </row>
    <row r="349" spans="2:16" ht="16.5" hidden="1" customHeight="1">
      <c r="B349" t="str">
        <f t="shared" si="18"/>
        <v>211013</v>
      </c>
      <c r="C349" s="179">
        <v>211013101071</v>
      </c>
      <c r="D349" t="s">
        <v>354</v>
      </c>
      <c r="E349" s="179"/>
      <c r="F349" s="179"/>
      <c r="G349" s="179">
        <v>0</v>
      </c>
      <c r="H349" s="179"/>
      <c r="I349" s="179"/>
      <c r="J349" s="191">
        <v>0</v>
      </c>
      <c r="K349" s="191">
        <v>0</v>
      </c>
      <c r="L349" s="185" t="s">
        <v>315</v>
      </c>
      <c r="N349" s="192" t="s">
        <v>121</v>
      </c>
      <c r="O349" t="s">
        <v>320</v>
      </c>
      <c r="P349" t="s">
        <v>317</v>
      </c>
    </row>
    <row r="350" spans="2:16" ht="16.5" hidden="1" customHeight="1">
      <c r="B350" t="str">
        <f t="shared" si="18"/>
        <v>211013</v>
      </c>
      <c r="C350" s="179">
        <v>211013101086</v>
      </c>
      <c r="D350" t="s">
        <v>357</v>
      </c>
      <c r="E350" s="179"/>
      <c r="F350" s="179"/>
      <c r="G350" s="179">
        <v>-470</v>
      </c>
      <c r="H350" s="179"/>
      <c r="I350" s="179"/>
      <c r="J350" s="191">
        <v>-110</v>
      </c>
      <c r="K350" s="191">
        <v>-453</v>
      </c>
      <c r="L350" s="185" t="s">
        <v>315</v>
      </c>
      <c r="N350" s="192" t="s">
        <v>121</v>
      </c>
      <c r="O350" t="s">
        <v>320</v>
      </c>
      <c r="P350" t="s">
        <v>317</v>
      </c>
    </row>
    <row r="351" spans="2:16" ht="16.5" hidden="1" customHeight="1">
      <c r="B351" t="str">
        <f t="shared" si="18"/>
        <v>211013</v>
      </c>
      <c r="C351" s="179">
        <v>211013101092</v>
      </c>
      <c r="D351" t="s">
        <v>358</v>
      </c>
      <c r="E351" s="179"/>
      <c r="F351" s="179"/>
      <c r="G351" s="179">
        <v>-155278.42000000001</v>
      </c>
      <c r="H351" s="179"/>
      <c r="I351" s="179"/>
      <c r="J351" s="191">
        <v>0</v>
      </c>
      <c r="K351" s="191">
        <v>-139512.85999999999</v>
      </c>
      <c r="L351" s="185" t="s">
        <v>315</v>
      </c>
      <c r="N351" s="192" t="s">
        <v>121</v>
      </c>
      <c r="O351" t="s">
        <v>320</v>
      </c>
      <c r="P351" t="s">
        <v>317</v>
      </c>
    </row>
    <row r="352" spans="2:16" ht="16.5" hidden="1" customHeight="1">
      <c r="B352" t="str">
        <f t="shared" si="18"/>
        <v>211013</v>
      </c>
      <c r="C352" s="179">
        <v>211013101096</v>
      </c>
      <c r="D352" t="s">
        <v>359</v>
      </c>
      <c r="E352" s="179"/>
      <c r="F352" s="179"/>
      <c r="G352" s="179">
        <v>0</v>
      </c>
      <c r="H352" s="179"/>
      <c r="I352" s="179"/>
      <c r="J352" s="191">
        <v>0</v>
      </c>
      <c r="K352" s="191">
        <v>-1794.36</v>
      </c>
      <c r="L352" s="185" t="s">
        <v>315</v>
      </c>
      <c r="N352" s="192" t="s">
        <v>121</v>
      </c>
      <c r="O352" t="s">
        <v>320</v>
      </c>
      <c r="P352" t="s">
        <v>317</v>
      </c>
    </row>
    <row r="353" spans="2:16" ht="16.5" hidden="1" customHeight="1">
      <c r="B353" t="str">
        <f t="shared" si="18"/>
        <v>211013</v>
      </c>
      <c r="C353" s="179">
        <v>211013101110</v>
      </c>
      <c r="D353" t="s">
        <v>500</v>
      </c>
      <c r="E353" s="179"/>
      <c r="F353" s="179"/>
      <c r="G353" s="179">
        <v>0</v>
      </c>
      <c r="H353" s="179"/>
      <c r="I353" s="179"/>
      <c r="J353" s="191">
        <v>0</v>
      </c>
      <c r="K353" s="191">
        <v>0</v>
      </c>
      <c r="L353" s="185" t="s">
        <v>315</v>
      </c>
      <c r="N353" s="192" t="s">
        <v>121</v>
      </c>
      <c r="O353" t="s">
        <v>320</v>
      </c>
      <c r="P353" t="s">
        <v>317</v>
      </c>
    </row>
    <row r="354" spans="2:16" ht="16.5" hidden="1" customHeight="1">
      <c r="B354" t="str">
        <f t="shared" si="18"/>
        <v>211013</v>
      </c>
      <c r="C354" s="179">
        <v>211013101143</v>
      </c>
      <c r="D354" t="s">
        <v>501</v>
      </c>
      <c r="E354" s="179"/>
      <c r="F354" s="179"/>
      <c r="G354" s="179">
        <v>-312.92</v>
      </c>
      <c r="H354" s="179"/>
      <c r="I354" s="179"/>
      <c r="J354" s="191">
        <v>-139513.60999999999</v>
      </c>
      <c r="K354" s="191">
        <v>0</v>
      </c>
      <c r="L354" s="185" t="s">
        <v>315</v>
      </c>
      <c r="N354" s="192" t="s">
        <v>121</v>
      </c>
      <c r="O354" t="s">
        <v>320</v>
      </c>
      <c r="P354" t="s">
        <v>317</v>
      </c>
    </row>
    <row r="355" spans="2:16" ht="16.5" hidden="1" customHeight="1">
      <c r="B355" t="str">
        <f t="shared" si="18"/>
        <v>211013</v>
      </c>
      <c r="C355" s="179">
        <v>211013101144</v>
      </c>
      <c r="D355" t="s">
        <v>502</v>
      </c>
      <c r="E355" s="179"/>
      <c r="F355" s="179"/>
      <c r="G355" s="179">
        <v>0</v>
      </c>
      <c r="H355" s="179"/>
      <c r="I355" s="179"/>
      <c r="J355" s="191">
        <v>0</v>
      </c>
      <c r="K355" s="191">
        <v>0</v>
      </c>
      <c r="L355" s="185" t="s">
        <v>315</v>
      </c>
      <c r="N355" s="192" t="s">
        <v>121</v>
      </c>
      <c r="O355" t="s">
        <v>320</v>
      </c>
      <c r="P355" t="s">
        <v>317</v>
      </c>
    </row>
    <row r="356" spans="2:16" ht="16.5" hidden="1" customHeight="1">
      <c r="B356" t="str">
        <f t="shared" si="18"/>
        <v>211013</v>
      </c>
      <c r="C356" s="179">
        <v>211013101168</v>
      </c>
      <c r="D356" t="s">
        <v>365</v>
      </c>
      <c r="E356" s="179"/>
      <c r="F356" s="179"/>
      <c r="G356" s="179">
        <v>-2944006.04</v>
      </c>
      <c r="H356" s="179"/>
      <c r="I356" s="179"/>
      <c r="J356" s="191">
        <v>0</v>
      </c>
      <c r="K356" s="191">
        <v>-3164884.15</v>
      </c>
      <c r="L356" s="185" t="s">
        <v>315</v>
      </c>
      <c r="N356" s="192" t="s">
        <v>121</v>
      </c>
      <c r="O356" t="s">
        <v>320</v>
      </c>
      <c r="P356" t="s">
        <v>364</v>
      </c>
    </row>
    <row r="357" spans="2:16" ht="16.5" hidden="1" customHeight="1">
      <c r="B357" t="str">
        <f t="shared" si="18"/>
        <v>211013</v>
      </c>
      <c r="C357" s="179">
        <v>211013101169</v>
      </c>
      <c r="D357" t="s">
        <v>503</v>
      </c>
      <c r="E357" s="179"/>
      <c r="F357" s="179"/>
      <c r="G357" s="179">
        <v>0</v>
      </c>
      <c r="H357" s="179"/>
      <c r="I357" s="179"/>
      <c r="J357" s="191">
        <v>0</v>
      </c>
      <c r="K357" s="191">
        <v>0</v>
      </c>
      <c r="L357" s="185" t="s">
        <v>315</v>
      </c>
      <c r="N357" s="192" t="s">
        <v>121</v>
      </c>
      <c r="O357" t="s">
        <v>320</v>
      </c>
      <c r="P357" t="s">
        <v>317</v>
      </c>
    </row>
    <row r="358" spans="2:16" ht="16.5" hidden="1" customHeight="1">
      <c r="B358" t="str">
        <f t="shared" si="18"/>
        <v>211013</v>
      </c>
      <c r="C358" s="179">
        <v>211013101176</v>
      </c>
      <c r="D358" t="s">
        <v>504</v>
      </c>
      <c r="E358" s="179"/>
      <c r="F358" s="179"/>
      <c r="G358" s="179">
        <v>0</v>
      </c>
      <c r="H358" s="179"/>
      <c r="I358" s="179"/>
      <c r="J358" s="191">
        <v>0</v>
      </c>
      <c r="K358" s="191">
        <v>0</v>
      </c>
      <c r="L358" s="185" t="s">
        <v>315</v>
      </c>
      <c r="N358" s="192" t="s">
        <v>121</v>
      </c>
      <c r="O358" t="s">
        <v>320</v>
      </c>
      <c r="P358" t="s">
        <v>317</v>
      </c>
    </row>
    <row r="359" spans="2:16" ht="16.5" hidden="1" customHeight="1">
      <c r="B359" t="str">
        <f t="shared" si="18"/>
        <v>211013</v>
      </c>
      <c r="C359" s="179">
        <v>211013101184</v>
      </c>
      <c r="D359" t="s">
        <v>505</v>
      </c>
      <c r="E359" s="179"/>
      <c r="F359" s="179"/>
      <c r="G359" s="179">
        <v>-100</v>
      </c>
      <c r="H359" s="179"/>
      <c r="I359" s="179"/>
      <c r="J359" s="191">
        <v>-5496162.75</v>
      </c>
      <c r="K359" s="191">
        <v>0</v>
      </c>
      <c r="L359" s="185" t="s">
        <v>315</v>
      </c>
      <c r="N359" s="192" t="s">
        <v>121</v>
      </c>
      <c r="O359" t="s">
        <v>320</v>
      </c>
      <c r="P359" t="s">
        <v>317</v>
      </c>
    </row>
    <row r="360" spans="2:16" ht="16.5" hidden="1" customHeight="1">
      <c r="B360" t="str">
        <f t="shared" si="18"/>
        <v>211013</v>
      </c>
      <c r="C360" s="179">
        <v>211013101188</v>
      </c>
      <c r="D360" t="s">
        <v>506</v>
      </c>
      <c r="E360" s="179"/>
      <c r="F360" s="179"/>
      <c r="G360" s="179">
        <v>0</v>
      </c>
      <c r="H360" s="179"/>
      <c r="I360" s="179"/>
      <c r="J360" s="191">
        <v>-1997.66</v>
      </c>
      <c r="K360" s="191">
        <v>0</v>
      </c>
      <c r="L360" s="185" t="s">
        <v>315</v>
      </c>
      <c r="N360" s="192" t="s">
        <v>121</v>
      </c>
      <c r="O360" t="s">
        <v>320</v>
      </c>
      <c r="P360" t="s">
        <v>317</v>
      </c>
    </row>
    <row r="361" spans="2:16" ht="16.5" hidden="1" customHeight="1">
      <c r="B361" t="str">
        <f t="shared" si="18"/>
        <v>211013</v>
      </c>
      <c r="C361" s="179">
        <v>211013101190</v>
      </c>
      <c r="D361" t="s">
        <v>507</v>
      </c>
      <c r="E361" s="179"/>
      <c r="F361" s="179"/>
      <c r="G361" s="179">
        <v>-400</v>
      </c>
      <c r="H361" s="179"/>
      <c r="I361" s="179"/>
      <c r="J361" s="191">
        <v>0</v>
      </c>
      <c r="K361" s="191">
        <v>0</v>
      </c>
      <c r="L361" s="185" t="s">
        <v>315</v>
      </c>
      <c r="N361" s="192" t="s">
        <v>121</v>
      </c>
      <c r="O361" t="s">
        <v>320</v>
      </c>
      <c r="P361" t="s">
        <v>317</v>
      </c>
    </row>
    <row r="362" spans="2:16" ht="16.5" hidden="1" customHeight="1">
      <c r="B362" t="str">
        <f t="shared" si="18"/>
        <v>211013</v>
      </c>
      <c r="C362" s="179">
        <v>211013101192</v>
      </c>
      <c r="D362" t="s">
        <v>508</v>
      </c>
      <c r="E362" s="179"/>
      <c r="F362" s="179"/>
      <c r="G362" s="179">
        <v>-391642.26</v>
      </c>
      <c r="H362" s="179"/>
      <c r="I362" s="179"/>
      <c r="J362" s="191">
        <v>0</v>
      </c>
      <c r="K362" s="191">
        <v>-391642.26</v>
      </c>
      <c r="L362" s="185" t="s">
        <v>315</v>
      </c>
      <c r="N362" s="192" t="s">
        <v>121</v>
      </c>
      <c r="O362" t="s">
        <v>320</v>
      </c>
      <c r="P362" t="s">
        <v>374</v>
      </c>
    </row>
    <row r="363" spans="2:16" ht="16.5" hidden="1" customHeight="1">
      <c r="B363" t="str">
        <f t="shared" ref="B363:B426" si="19">LEFT(C363,6)</f>
        <v>211013</v>
      </c>
      <c r="C363" s="179">
        <v>211013101206</v>
      </c>
      <c r="D363" t="s">
        <v>509</v>
      </c>
      <c r="E363" s="179"/>
      <c r="F363" s="179"/>
      <c r="G363" s="179">
        <v>-455</v>
      </c>
      <c r="H363" s="179"/>
      <c r="I363" s="179"/>
      <c r="J363" s="191">
        <v>0</v>
      </c>
      <c r="K363" s="191">
        <v>0</v>
      </c>
      <c r="L363" s="185" t="s">
        <v>315</v>
      </c>
      <c r="N363" s="192" t="s">
        <v>121</v>
      </c>
      <c r="O363" t="s">
        <v>320</v>
      </c>
      <c r="P363" t="s">
        <v>317</v>
      </c>
    </row>
    <row r="364" spans="2:16" ht="16.5" hidden="1" customHeight="1">
      <c r="B364" t="str">
        <f t="shared" si="19"/>
        <v>211013</v>
      </c>
      <c r="C364" s="179">
        <v>211013101207</v>
      </c>
      <c r="D364" t="s">
        <v>510</v>
      </c>
      <c r="E364" s="179"/>
      <c r="F364" s="179"/>
      <c r="G364" s="179">
        <v>0</v>
      </c>
      <c r="H364" s="179"/>
      <c r="I364" s="179"/>
      <c r="J364" s="191">
        <v>0</v>
      </c>
      <c r="K364" s="191">
        <v>0</v>
      </c>
      <c r="L364" s="185" t="s">
        <v>315</v>
      </c>
      <c r="N364" s="192" t="s">
        <v>121</v>
      </c>
      <c r="O364" t="s">
        <v>320</v>
      </c>
      <c r="P364" t="s">
        <v>317</v>
      </c>
    </row>
    <row r="365" spans="2:16" ht="16.5" hidden="1" customHeight="1">
      <c r="B365" t="str">
        <f t="shared" si="19"/>
        <v>211013</v>
      </c>
      <c r="C365" s="179">
        <v>211013101225</v>
      </c>
      <c r="D365" t="s">
        <v>377</v>
      </c>
      <c r="E365" s="179"/>
      <c r="F365" s="179"/>
      <c r="G365" s="179">
        <v>0</v>
      </c>
      <c r="H365" s="179"/>
      <c r="I365" s="179"/>
      <c r="J365" s="191">
        <v>-391642.26</v>
      </c>
      <c r="K365" s="191">
        <v>0</v>
      </c>
      <c r="L365" s="185" t="s">
        <v>315</v>
      </c>
      <c r="N365" s="192" t="s">
        <v>121</v>
      </c>
      <c r="O365" t="s">
        <v>320</v>
      </c>
      <c r="P365" t="s">
        <v>317</v>
      </c>
    </row>
    <row r="366" spans="2:16" ht="16.5" hidden="1" customHeight="1">
      <c r="B366" t="str">
        <f t="shared" si="19"/>
        <v>211013</v>
      </c>
      <c r="C366" s="179">
        <v>211013101229</v>
      </c>
      <c r="D366" t="s">
        <v>511</v>
      </c>
      <c r="E366" s="179"/>
      <c r="F366" s="179"/>
      <c r="G366" s="179">
        <v>0</v>
      </c>
      <c r="H366" s="179"/>
      <c r="I366" s="179"/>
      <c r="J366" s="191">
        <v>0</v>
      </c>
      <c r="K366" s="191">
        <v>0</v>
      </c>
      <c r="L366" s="185" t="s">
        <v>315</v>
      </c>
      <c r="N366" s="192" t="s">
        <v>121</v>
      </c>
      <c r="O366" t="s">
        <v>320</v>
      </c>
      <c r="P366" t="s">
        <v>317</v>
      </c>
    </row>
    <row r="367" spans="2:16" ht="16.5" hidden="1" customHeight="1">
      <c r="B367" t="str">
        <f t="shared" si="19"/>
        <v>211013</v>
      </c>
      <c r="C367" s="179">
        <v>211013101230</v>
      </c>
      <c r="D367" t="s">
        <v>512</v>
      </c>
      <c r="E367" s="179"/>
      <c r="F367" s="179"/>
      <c r="G367" s="179">
        <v>0</v>
      </c>
      <c r="H367" s="179"/>
      <c r="I367" s="179"/>
      <c r="J367" s="191">
        <v>0</v>
      </c>
      <c r="K367" s="191">
        <v>0</v>
      </c>
      <c r="L367" s="185" t="s">
        <v>315</v>
      </c>
      <c r="N367" s="192" t="s">
        <v>121</v>
      </c>
      <c r="O367" t="s">
        <v>320</v>
      </c>
      <c r="P367" t="s">
        <v>317</v>
      </c>
    </row>
    <row r="368" spans="2:16" ht="16.5" hidden="1" customHeight="1">
      <c r="B368" t="str">
        <f t="shared" si="19"/>
        <v>211013</v>
      </c>
      <c r="C368" s="179">
        <v>211013101232</v>
      </c>
      <c r="D368" t="s">
        <v>513</v>
      </c>
      <c r="E368" s="179"/>
      <c r="F368" s="179"/>
      <c r="G368" s="179">
        <v>0</v>
      </c>
      <c r="H368" s="179"/>
      <c r="I368" s="179"/>
      <c r="J368" s="191">
        <v>0</v>
      </c>
      <c r="K368" s="191">
        <v>0</v>
      </c>
      <c r="L368" s="185" t="s">
        <v>315</v>
      </c>
      <c r="N368" s="192" t="s">
        <v>121</v>
      </c>
      <c r="O368" t="s">
        <v>320</v>
      </c>
      <c r="P368" t="s">
        <v>317</v>
      </c>
    </row>
    <row r="369" spans="2:16" ht="16.5" hidden="1" customHeight="1">
      <c r="B369" t="str">
        <f t="shared" si="19"/>
        <v>211013</v>
      </c>
      <c r="C369" s="179">
        <v>211013101251</v>
      </c>
      <c r="D369" t="s">
        <v>514</v>
      </c>
      <c r="E369" s="179"/>
      <c r="F369" s="179"/>
      <c r="G369" s="179">
        <v>0</v>
      </c>
      <c r="H369" s="179"/>
      <c r="I369" s="179"/>
      <c r="J369" s="191">
        <v>0</v>
      </c>
      <c r="K369" s="191">
        <v>0</v>
      </c>
      <c r="L369" s="185" t="s">
        <v>315</v>
      </c>
      <c r="N369" s="192" t="s">
        <v>121</v>
      </c>
      <c r="O369" t="s">
        <v>320</v>
      </c>
      <c r="P369" t="s">
        <v>317</v>
      </c>
    </row>
    <row r="370" spans="2:16" ht="16.5" hidden="1" customHeight="1">
      <c r="B370" t="str">
        <f t="shared" si="19"/>
        <v>211013</v>
      </c>
      <c r="C370" s="179">
        <v>211013101271</v>
      </c>
      <c r="D370" t="s">
        <v>390</v>
      </c>
      <c r="E370" s="179"/>
      <c r="F370" s="179"/>
      <c r="G370" s="179">
        <v>0</v>
      </c>
      <c r="H370" s="179"/>
      <c r="I370" s="179"/>
      <c r="J370" s="191">
        <v>0</v>
      </c>
      <c r="K370" s="191">
        <v>0</v>
      </c>
      <c r="L370" s="185" t="s">
        <v>315</v>
      </c>
      <c r="N370" s="192" t="s">
        <v>121</v>
      </c>
      <c r="O370" t="s">
        <v>320</v>
      </c>
      <c r="P370" t="s">
        <v>317</v>
      </c>
    </row>
    <row r="371" spans="2:16" ht="16.5" hidden="1" customHeight="1">
      <c r="B371" t="str">
        <f t="shared" si="19"/>
        <v>211013</v>
      </c>
      <c r="C371" s="179">
        <v>211013101289</v>
      </c>
      <c r="D371" t="s">
        <v>515</v>
      </c>
      <c r="E371" s="179"/>
      <c r="F371" s="179"/>
      <c r="G371" s="179">
        <v>0</v>
      </c>
      <c r="H371" s="179"/>
      <c r="I371" s="179"/>
      <c r="J371" s="191">
        <v>0</v>
      </c>
      <c r="K371" s="191">
        <v>0</v>
      </c>
      <c r="L371" s="185" t="s">
        <v>315</v>
      </c>
      <c r="N371" s="192" t="s">
        <v>121</v>
      </c>
      <c r="O371" t="s">
        <v>320</v>
      </c>
      <c r="P371" t="s">
        <v>317</v>
      </c>
    </row>
    <row r="372" spans="2:16" ht="16.5" hidden="1" customHeight="1">
      <c r="B372" t="str">
        <f t="shared" si="19"/>
        <v>211013</v>
      </c>
      <c r="C372" s="179">
        <v>211013101311</v>
      </c>
      <c r="D372" t="s">
        <v>516</v>
      </c>
      <c r="E372" s="179"/>
      <c r="F372" s="179"/>
      <c r="G372" s="179">
        <v>-1769.65</v>
      </c>
      <c r="H372" s="179"/>
      <c r="I372" s="179"/>
      <c r="J372" s="191">
        <v>0</v>
      </c>
      <c r="K372" s="191">
        <v>-1769.65</v>
      </c>
      <c r="L372" s="185" t="s">
        <v>315</v>
      </c>
      <c r="N372" s="192" t="s">
        <v>121</v>
      </c>
      <c r="O372" t="s">
        <v>320</v>
      </c>
      <c r="P372" t="s">
        <v>317</v>
      </c>
    </row>
    <row r="373" spans="2:16" ht="16.5" hidden="1" customHeight="1">
      <c r="B373" t="str">
        <f t="shared" si="19"/>
        <v>211013</v>
      </c>
      <c r="C373" s="179">
        <v>211013101321</v>
      </c>
      <c r="D373" t="s">
        <v>517</v>
      </c>
      <c r="E373" s="179"/>
      <c r="F373" s="179"/>
      <c r="G373" s="179">
        <v>-1160.9000000000001</v>
      </c>
      <c r="H373" s="179"/>
      <c r="I373" s="179"/>
      <c r="J373" s="191">
        <v>0</v>
      </c>
      <c r="K373" s="191">
        <v>0</v>
      </c>
      <c r="L373" s="185" t="s">
        <v>315</v>
      </c>
      <c r="N373" s="192" t="s">
        <v>121</v>
      </c>
      <c r="O373" t="s">
        <v>320</v>
      </c>
      <c r="P373" t="s">
        <v>317</v>
      </c>
    </row>
    <row r="374" spans="2:16" ht="16.5" hidden="1" customHeight="1">
      <c r="B374" t="str">
        <f t="shared" si="19"/>
        <v>211013</v>
      </c>
      <c r="C374" s="179">
        <v>211013101323</v>
      </c>
      <c r="D374" t="s">
        <v>453</v>
      </c>
      <c r="E374" s="179"/>
      <c r="F374" s="179"/>
      <c r="G374" s="179">
        <v>-736.79</v>
      </c>
      <c r="H374" s="179"/>
      <c r="I374" s="179"/>
      <c r="J374" s="191">
        <v>0</v>
      </c>
      <c r="K374" s="191">
        <v>-644.37</v>
      </c>
      <c r="L374" s="185" t="s">
        <v>315</v>
      </c>
      <c r="N374" s="192" t="s">
        <v>121</v>
      </c>
      <c r="O374" t="s">
        <v>320</v>
      </c>
      <c r="P374" t="s">
        <v>317</v>
      </c>
    </row>
    <row r="375" spans="2:16" ht="16.5" hidden="1" customHeight="1">
      <c r="B375" t="str">
        <f t="shared" si="19"/>
        <v>211013</v>
      </c>
      <c r="C375" s="179">
        <v>211013101329</v>
      </c>
      <c r="D375" t="s">
        <v>518</v>
      </c>
      <c r="E375" s="179"/>
      <c r="F375" s="179"/>
      <c r="G375" s="179">
        <v>-754.6</v>
      </c>
      <c r="H375" s="179"/>
      <c r="I375" s="179"/>
      <c r="J375" s="191">
        <v>-1769.65</v>
      </c>
      <c r="K375" s="191">
        <v>0</v>
      </c>
      <c r="L375" s="185" t="s">
        <v>315</v>
      </c>
      <c r="N375" s="192" t="s">
        <v>121</v>
      </c>
      <c r="O375" t="s">
        <v>320</v>
      </c>
      <c r="P375" t="s">
        <v>317</v>
      </c>
    </row>
    <row r="376" spans="2:16" ht="16.5" hidden="1" customHeight="1">
      <c r="B376" t="str">
        <f t="shared" si="19"/>
        <v>211013</v>
      </c>
      <c r="C376" s="179">
        <v>211013101330</v>
      </c>
      <c r="D376" t="s">
        <v>519</v>
      </c>
      <c r="E376" s="179"/>
      <c r="F376" s="179"/>
      <c r="G376" s="179">
        <v>-1555.41</v>
      </c>
      <c r="H376" s="179"/>
      <c r="I376" s="179"/>
      <c r="J376" s="191">
        <v>-359.93</v>
      </c>
      <c r="K376" s="191">
        <v>-922.47</v>
      </c>
      <c r="L376" s="185" t="s">
        <v>315</v>
      </c>
      <c r="N376" s="192" t="s">
        <v>121</v>
      </c>
      <c r="O376" t="s">
        <v>320</v>
      </c>
      <c r="P376" t="s">
        <v>317</v>
      </c>
    </row>
    <row r="377" spans="2:16" ht="16.5" hidden="1" customHeight="1">
      <c r="B377" t="str">
        <f t="shared" si="19"/>
        <v>211013</v>
      </c>
      <c r="C377" s="179">
        <v>211013101339</v>
      </c>
      <c r="D377" t="s">
        <v>520</v>
      </c>
      <c r="E377" s="179"/>
      <c r="F377" s="179"/>
      <c r="G377" s="179">
        <v>-1447.09</v>
      </c>
      <c r="H377" s="179"/>
      <c r="I377" s="179"/>
      <c r="J377" s="191">
        <v>-813.78</v>
      </c>
      <c r="K377" s="191">
        <v>-936.39</v>
      </c>
      <c r="L377" s="185" t="s">
        <v>315</v>
      </c>
      <c r="N377" s="192" t="s">
        <v>121</v>
      </c>
      <c r="O377" t="s">
        <v>320</v>
      </c>
      <c r="P377" t="s">
        <v>317</v>
      </c>
    </row>
    <row r="378" spans="2:16" ht="16.5" hidden="1" customHeight="1">
      <c r="B378" t="str">
        <f t="shared" si="19"/>
        <v>211013</v>
      </c>
      <c r="C378" s="179">
        <v>211013101342</v>
      </c>
      <c r="D378" t="s">
        <v>521</v>
      </c>
      <c r="E378" s="179"/>
      <c r="F378" s="179"/>
      <c r="G378" s="179">
        <v>0</v>
      </c>
      <c r="H378" s="179"/>
      <c r="I378" s="179"/>
      <c r="J378" s="191">
        <v>0</v>
      </c>
      <c r="K378" s="191">
        <v>0</v>
      </c>
      <c r="L378" s="185" t="s">
        <v>315</v>
      </c>
      <c r="N378" s="192" t="s">
        <v>121</v>
      </c>
      <c r="O378" t="s">
        <v>320</v>
      </c>
      <c r="P378" t="s">
        <v>317</v>
      </c>
    </row>
    <row r="379" spans="2:16" ht="16.5" hidden="1" customHeight="1">
      <c r="B379" t="str">
        <f t="shared" si="19"/>
        <v>211013</v>
      </c>
      <c r="C379" s="179">
        <v>211013101377</v>
      </c>
      <c r="D379" t="s">
        <v>522</v>
      </c>
      <c r="E379" s="179"/>
      <c r="F379" s="179"/>
      <c r="G379" s="179">
        <v>0</v>
      </c>
      <c r="H379" s="179"/>
      <c r="I379" s="179"/>
      <c r="J379" s="191">
        <v>-378.3</v>
      </c>
      <c r="K379" s="191">
        <v>0</v>
      </c>
      <c r="L379" s="185" t="s">
        <v>315</v>
      </c>
      <c r="N379" s="192" t="s">
        <v>121</v>
      </c>
      <c r="O379" t="s">
        <v>320</v>
      </c>
      <c r="P379" t="s">
        <v>317</v>
      </c>
    </row>
    <row r="380" spans="2:16" ht="16.5" hidden="1" customHeight="1">
      <c r="B380" t="str">
        <f t="shared" si="19"/>
        <v>211013</v>
      </c>
      <c r="C380" s="179">
        <v>211013101384</v>
      </c>
      <c r="D380" t="s">
        <v>523</v>
      </c>
      <c r="E380" s="179"/>
      <c r="F380" s="179"/>
      <c r="G380" s="179">
        <v>0</v>
      </c>
      <c r="H380" s="179"/>
      <c r="I380" s="179"/>
      <c r="J380" s="191">
        <v>-348.43</v>
      </c>
      <c r="K380" s="191">
        <v>0</v>
      </c>
      <c r="L380" s="185" t="s">
        <v>315</v>
      </c>
      <c r="N380" s="192" t="s">
        <v>121</v>
      </c>
      <c r="O380" t="s">
        <v>320</v>
      </c>
      <c r="P380" t="s">
        <v>317</v>
      </c>
    </row>
    <row r="381" spans="2:16" ht="16.5" hidden="1" customHeight="1">
      <c r="B381" t="str">
        <f t="shared" si="19"/>
        <v>211013</v>
      </c>
      <c r="C381" s="179">
        <v>211013101389</v>
      </c>
      <c r="D381" t="s">
        <v>408</v>
      </c>
      <c r="E381" s="179"/>
      <c r="F381" s="179"/>
      <c r="G381" s="179">
        <v>0</v>
      </c>
      <c r="H381" s="179"/>
      <c r="I381" s="179"/>
      <c r="J381" s="191">
        <v>0</v>
      </c>
      <c r="K381" s="191">
        <v>0</v>
      </c>
      <c r="L381" s="185" t="s">
        <v>315</v>
      </c>
      <c r="N381" s="192" t="s">
        <v>121</v>
      </c>
      <c r="O381" t="s">
        <v>320</v>
      </c>
      <c r="P381" t="s">
        <v>317</v>
      </c>
    </row>
    <row r="382" spans="2:16" ht="16.5" hidden="1" customHeight="1">
      <c r="B382" t="str">
        <f t="shared" si="19"/>
        <v>211013</v>
      </c>
      <c r="C382" s="179">
        <v>211013101390</v>
      </c>
      <c r="D382" t="s">
        <v>524</v>
      </c>
      <c r="E382" s="179"/>
      <c r="F382" s="179"/>
      <c r="G382" s="179">
        <v>-3109.03</v>
      </c>
      <c r="H382" s="179"/>
      <c r="I382" s="179"/>
      <c r="J382" s="191">
        <v>0</v>
      </c>
      <c r="K382" s="191">
        <v>0</v>
      </c>
      <c r="L382" s="185" t="s">
        <v>315</v>
      </c>
      <c r="N382" s="192" t="s">
        <v>121</v>
      </c>
      <c r="O382" t="s">
        <v>320</v>
      </c>
      <c r="P382" t="s">
        <v>317</v>
      </c>
    </row>
    <row r="383" spans="2:16" ht="16.5" hidden="1" customHeight="1">
      <c r="B383" t="str">
        <f t="shared" si="19"/>
        <v>211013</v>
      </c>
      <c r="C383" s="179">
        <v>211013101395</v>
      </c>
      <c r="D383" t="s">
        <v>525</v>
      </c>
      <c r="E383" s="179"/>
      <c r="F383" s="179"/>
      <c r="G383" s="179">
        <v>0</v>
      </c>
      <c r="H383" s="179"/>
      <c r="I383" s="179"/>
      <c r="J383" s="191">
        <v>0</v>
      </c>
      <c r="K383" s="191">
        <v>-3860.56</v>
      </c>
      <c r="L383" s="185" t="s">
        <v>315</v>
      </c>
      <c r="N383" s="192" t="s">
        <v>121</v>
      </c>
      <c r="O383" t="s">
        <v>320</v>
      </c>
      <c r="P383" t="s">
        <v>317</v>
      </c>
    </row>
    <row r="384" spans="2:16" ht="16.5" hidden="1" customHeight="1">
      <c r="B384" t="str">
        <f t="shared" si="19"/>
        <v>211013</v>
      </c>
      <c r="C384" s="179">
        <v>211013101397</v>
      </c>
      <c r="D384" t="s">
        <v>526</v>
      </c>
      <c r="E384" s="179"/>
      <c r="F384" s="179"/>
      <c r="G384" s="179">
        <v>0</v>
      </c>
      <c r="H384" s="179"/>
      <c r="I384" s="179"/>
      <c r="J384" s="191">
        <v>0</v>
      </c>
      <c r="K384" s="191">
        <v>0</v>
      </c>
      <c r="L384" s="185" t="s">
        <v>315</v>
      </c>
      <c r="N384" s="192" t="s">
        <v>121</v>
      </c>
      <c r="O384" t="s">
        <v>320</v>
      </c>
      <c r="P384" t="s">
        <v>317</v>
      </c>
    </row>
    <row r="385" spans="2:16" ht="16.5" hidden="1" customHeight="1">
      <c r="B385" t="str">
        <f t="shared" si="19"/>
        <v>211013</v>
      </c>
      <c r="C385" s="179">
        <v>211013101399</v>
      </c>
      <c r="D385" t="s">
        <v>527</v>
      </c>
      <c r="E385" s="179"/>
      <c r="F385" s="179"/>
      <c r="G385" s="179">
        <v>-733.67</v>
      </c>
      <c r="H385" s="179"/>
      <c r="I385" s="179"/>
      <c r="J385" s="191">
        <v>0</v>
      </c>
      <c r="K385" s="191">
        <v>0</v>
      </c>
      <c r="L385" s="185" t="s">
        <v>315</v>
      </c>
      <c r="N385" s="192" t="s">
        <v>121</v>
      </c>
      <c r="O385" t="s">
        <v>320</v>
      </c>
      <c r="P385" t="s">
        <v>317</v>
      </c>
    </row>
    <row r="386" spans="2:16" ht="16.5" hidden="1" customHeight="1">
      <c r="B386" t="str">
        <f t="shared" si="19"/>
        <v>211013</v>
      </c>
      <c r="C386" s="179">
        <v>211013101401</v>
      </c>
      <c r="D386" t="s">
        <v>528</v>
      </c>
      <c r="E386" s="179"/>
      <c r="F386" s="179"/>
      <c r="G386" s="179">
        <v>-2000</v>
      </c>
      <c r="H386" s="179"/>
      <c r="I386" s="179"/>
      <c r="J386" s="191">
        <v>0</v>
      </c>
      <c r="K386" s="191">
        <v>0</v>
      </c>
      <c r="L386" s="185" t="s">
        <v>315</v>
      </c>
      <c r="N386" s="192" t="s">
        <v>121</v>
      </c>
      <c r="O386" t="s">
        <v>320</v>
      </c>
      <c r="P386" t="s">
        <v>317</v>
      </c>
    </row>
    <row r="387" spans="2:16" ht="16.5" hidden="1" customHeight="1">
      <c r="B387" t="str">
        <f t="shared" si="19"/>
        <v>211013</v>
      </c>
      <c r="C387" s="179">
        <v>211013101416</v>
      </c>
      <c r="D387" t="s">
        <v>529</v>
      </c>
      <c r="E387" s="179"/>
      <c r="F387" s="179"/>
      <c r="G387" s="179">
        <v>-0.01</v>
      </c>
      <c r="H387" s="179"/>
      <c r="I387" s="179"/>
      <c r="J387" s="191">
        <v>-110</v>
      </c>
      <c r="K387" s="191">
        <v>0</v>
      </c>
      <c r="L387" s="185" t="s">
        <v>315</v>
      </c>
      <c r="N387" s="192" t="s">
        <v>121</v>
      </c>
      <c r="O387" t="s">
        <v>320</v>
      </c>
      <c r="P387" t="s">
        <v>317</v>
      </c>
    </row>
    <row r="388" spans="2:16" ht="16.5" hidden="1" customHeight="1">
      <c r="B388" t="str">
        <f t="shared" si="19"/>
        <v>211013</v>
      </c>
      <c r="C388" s="179">
        <v>211013101423</v>
      </c>
      <c r="D388" t="s">
        <v>530</v>
      </c>
      <c r="E388" s="179"/>
      <c r="F388" s="179"/>
      <c r="G388" s="179">
        <v>0</v>
      </c>
      <c r="H388" s="179"/>
      <c r="I388" s="179"/>
      <c r="J388" s="191">
        <v>0</v>
      </c>
      <c r="K388" s="191">
        <v>0</v>
      </c>
      <c r="L388" s="185" t="s">
        <v>315</v>
      </c>
      <c r="N388" s="192" t="s">
        <v>121</v>
      </c>
      <c r="O388" t="s">
        <v>320</v>
      </c>
      <c r="P388" t="s">
        <v>317</v>
      </c>
    </row>
    <row r="389" spans="2:16" ht="16.5" hidden="1" customHeight="1">
      <c r="B389" t="str">
        <f t="shared" si="19"/>
        <v>211013</v>
      </c>
      <c r="C389" s="179">
        <v>211013101436</v>
      </c>
      <c r="D389" t="s">
        <v>531</v>
      </c>
      <c r="E389" s="179"/>
      <c r="F389" s="179"/>
      <c r="G389" s="179">
        <v>-621.44000000000005</v>
      </c>
      <c r="H389" s="179"/>
      <c r="I389" s="179"/>
      <c r="J389" s="191">
        <v>0</v>
      </c>
      <c r="K389" s="191">
        <v>0</v>
      </c>
      <c r="L389" s="185" t="s">
        <v>315</v>
      </c>
      <c r="N389" s="192" t="s">
        <v>121</v>
      </c>
      <c r="O389" t="s">
        <v>320</v>
      </c>
      <c r="P389" t="s">
        <v>317</v>
      </c>
    </row>
    <row r="390" spans="2:16" ht="16.5" hidden="1" customHeight="1">
      <c r="B390" t="str">
        <f t="shared" si="19"/>
        <v>211013</v>
      </c>
      <c r="C390" s="179">
        <v>211013101444</v>
      </c>
      <c r="D390" t="s">
        <v>532</v>
      </c>
      <c r="E390" s="179"/>
      <c r="F390" s="179"/>
      <c r="G390" s="179">
        <v>-91.8</v>
      </c>
      <c r="H390" s="179"/>
      <c r="I390" s="179"/>
      <c r="J390" s="191">
        <v>0</v>
      </c>
      <c r="K390" s="191">
        <v>0</v>
      </c>
      <c r="L390" s="185" t="s">
        <v>315</v>
      </c>
      <c r="N390" s="192" t="s">
        <v>121</v>
      </c>
      <c r="O390" t="s">
        <v>320</v>
      </c>
      <c r="P390" t="s">
        <v>317</v>
      </c>
    </row>
    <row r="391" spans="2:16" ht="16.5" hidden="1" customHeight="1">
      <c r="B391" t="str">
        <f t="shared" si="19"/>
        <v>211013</v>
      </c>
      <c r="C391" s="179">
        <v>211013101454</v>
      </c>
      <c r="D391" t="s">
        <v>533</v>
      </c>
      <c r="E391" s="179"/>
      <c r="F391" s="179"/>
      <c r="G391" s="179">
        <v>-585.66999999999996</v>
      </c>
      <c r="H391" s="179"/>
      <c r="I391" s="179"/>
      <c r="J391" s="191">
        <v>0</v>
      </c>
      <c r="K391" s="191">
        <v>0</v>
      </c>
      <c r="L391" s="185" t="s">
        <v>315</v>
      </c>
      <c r="N391" s="192" t="s">
        <v>121</v>
      </c>
      <c r="O391" t="s">
        <v>320</v>
      </c>
      <c r="P391" t="s">
        <v>317</v>
      </c>
    </row>
    <row r="392" spans="2:16" ht="16.5" hidden="1" customHeight="1">
      <c r="B392" t="str">
        <f t="shared" si="19"/>
        <v>211013</v>
      </c>
      <c r="C392" s="179">
        <v>211013101456</v>
      </c>
      <c r="D392" t="s">
        <v>534</v>
      </c>
      <c r="E392" s="179"/>
      <c r="F392" s="179"/>
      <c r="G392" s="179">
        <v>-2240.1</v>
      </c>
      <c r="H392" s="179"/>
      <c r="I392" s="179"/>
      <c r="J392" s="191">
        <v>0</v>
      </c>
      <c r="K392" s="191">
        <v>0</v>
      </c>
      <c r="L392" s="185" t="s">
        <v>315</v>
      </c>
      <c r="N392" s="192" t="s">
        <v>121</v>
      </c>
      <c r="O392" t="s">
        <v>320</v>
      </c>
      <c r="P392" t="s">
        <v>317</v>
      </c>
    </row>
    <row r="393" spans="2:16" ht="16.5" hidden="1" customHeight="1">
      <c r="B393" t="str">
        <f t="shared" si="19"/>
        <v>211013</v>
      </c>
      <c r="C393" s="179">
        <v>211013101458</v>
      </c>
      <c r="D393" t="s">
        <v>535</v>
      </c>
      <c r="E393" s="179"/>
      <c r="F393" s="179"/>
      <c r="G393" s="179">
        <v>-33960</v>
      </c>
      <c r="H393" s="179"/>
      <c r="I393" s="179"/>
      <c r="J393" s="191">
        <v>0</v>
      </c>
      <c r="K393" s="191">
        <v>0</v>
      </c>
      <c r="L393" s="185" t="s">
        <v>315</v>
      </c>
      <c r="N393" s="192" t="s">
        <v>121</v>
      </c>
      <c r="O393" t="s">
        <v>320</v>
      </c>
      <c r="P393" t="s">
        <v>317</v>
      </c>
    </row>
    <row r="394" spans="2:16" ht="16.5" hidden="1" customHeight="1">
      <c r="B394" t="str">
        <f t="shared" si="19"/>
        <v>211013</v>
      </c>
      <c r="C394" s="179">
        <v>211013101460</v>
      </c>
      <c r="D394" t="s">
        <v>536</v>
      </c>
      <c r="E394" s="179"/>
      <c r="F394" s="179"/>
      <c r="G394" s="179">
        <v>0</v>
      </c>
      <c r="H394" s="179"/>
      <c r="I394" s="179"/>
      <c r="J394" s="191">
        <v>0</v>
      </c>
      <c r="K394" s="191">
        <v>0</v>
      </c>
      <c r="L394" s="185" t="s">
        <v>315</v>
      </c>
      <c r="N394" s="192" t="s">
        <v>121</v>
      </c>
      <c r="O394" t="s">
        <v>320</v>
      </c>
      <c r="P394" t="s">
        <v>317</v>
      </c>
    </row>
    <row r="395" spans="2:16" ht="16.5" hidden="1" customHeight="1">
      <c r="B395" t="str">
        <f t="shared" si="19"/>
        <v>211013</v>
      </c>
      <c r="C395" s="179">
        <v>211013101461</v>
      </c>
      <c r="D395" t="s">
        <v>449</v>
      </c>
      <c r="E395" s="179"/>
      <c r="F395" s="179"/>
      <c r="G395" s="179">
        <v>-361.25</v>
      </c>
      <c r="H395" s="179"/>
      <c r="I395" s="179"/>
      <c r="J395" s="191">
        <v>0</v>
      </c>
      <c r="K395" s="191">
        <v>0</v>
      </c>
      <c r="L395" s="185" t="s">
        <v>315</v>
      </c>
      <c r="N395" s="192" t="s">
        <v>121</v>
      </c>
      <c r="O395" t="s">
        <v>320</v>
      </c>
      <c r="P395" t="s">
        <v>317</v>
      </c>
    </row>
    <row r="396" spans="2:16" ht="16.5" hidden="1" customHeight="1">
      <c r="B396" t="str">
        <f t="shared" si="19"/>
        <v>211013</v>
      </c>
      <c r="C396" s="179">
        <v>211013101466</v>
      </c>
      <c r="D396" t="s">
        <v>537</v>
      </c>
      <c r="E396" s="179"/>
      <c r="F396" s="179"/>
      <c r="G396" s="179">
        <v>0</v>
      </c>
      <c r="H396" s="179"/>
      <c r="I396" s="179"/>
      <c r="J396" s="191">
        <v>0</v>
      </c>
      <c r="K396" s="191">
        <v>-378</v>
      </c>
      <c r="L396" s="185" t="s">
        <v>315</v>
      </c>
      <c r="N396" s="192" t="s">
        <v>121</v>
      </c>
      <c r="O396" t="s">
        <v>320</v>
      </c>
      <c r="P396" t="s">
        <v>317</v>
      </c>
    </row>
    <row r="397" spans="2:16" ht="16.5" hidden="1" customHeight="1">
      <c r="B397" t="str">
        <f t="shared" si="19"/>
        <v>211013</v>
      </c>
      <c r="C397" s="179">
        <v>211013101483</v>
      </c>
      <c r="D397" t="s">
        <v>538</v>
      </c>
      <c r="E397" s="179"/>
      <c r="F397" s="179"/>
      <c r="G397" s="179">
        <v>0</v>
      </c>
      <c r="H397" s="179"/>
      <c r="I397" s="179"/>
      <c r="J397" s="191">
        <v>0</v>
      </c>
      <c r="K397" s="191">
        <v>0</v>
      </c>
      <c r="L397" s="185" t="s">
        <v>315</v>
      </c>
      <c r="N397" s="192" t="s">
        <v>121</v>
      </c>
      <c r="O397" t="s">
        <v>320</v>
      </c>
      <c r="P397" t="s">
        <v>317</v>
      </c>
    </row>
    <row r="398" spans="2:16" ht="16.5" hidden="1" customHeight="1">
      <c r="B398" t="str">
        <f t="shared" si="19"/>
        <v>211013</v>
      </c>
      <c r="C398" s="179">
        <v>211013101486</v>
      </c>
      <c r="D398" t="s">
        <v>539</v>
      </c>
      <c r="E398" s="179"/>
      <c r="F398" s="179"/>
      <c r="G398" s="179">
        <v>0</v>
      </c>
      <c r="H398" s="179"/>
      <c r="I398" s="179"/>
      <c r="J398" s="191">
        <v>0</v>
      </c>
      <c r="K398" s="191">
        <v>0</v>
      </c>
      <c r="L398" s="185" t="s">
        <v>315</v>
      </c>
      <c r="N398" s="192" t="s">
        <v>121</v>
      </c>
      <c r="O398" t="s">
        <v>320</v>
      </c>
      <c r="P398" t="s">
        <v>317</v>
      </c>
    </row>
    <row r="399" spans="2:16" ht="16.5" hidden="1" customHeight="1">
      <c r="B399" t="str">
        <f t="shared" si="19"/>
        <v>211013</v>
      </c>
      <c r="C399" s="179">
        <v>211013101498</v>
      </c>
      <c r="D399" t="s">
        <v>540</v>
      </c>
      <c r="E399" s="179"/>
      <c r="F399" s="179"/>
      <c r="G399" s="179">
        <v>-4692.5</v>
      </c>
      <c r="H399" s="179"/>
      <c r="I399" s="179"/>
      <c r="J399" s="191">
        <v>-378</v>
      </c>
      <c r="K399" s="191">
        <v>0</v>
      </c>
      <c r="L399" s="185" t="s">
        <v>315</v>
      </c>
      <c r="N399" s="192" t="s">
        <v>121</v>
      </c>
      <c r="O399" t="s">
        <v>320</v>
      </c>
      <c r="P399" t="s">
        <v>317</v>
      </c>
    </row>
    <row r="400" spans="2:16" ht="16.5" hidden="1" customHeight="1">
      <c r="B400" t="str">
        <f t="shared" si="19"/>
        <v>211013</v>
      </c>
      <c r="C400" s="179">
        <v>211013101501</v>
      </c>
      <c r="D400" t="s">
        <v>541</v>
      </c>
      <c r="E400" s="179"/>
      <c r="F400" s="179"/>
      <c r="G400" s="179">
        <v>0</v>
      </c>
      <c r="H400" s="179"/>
      <c r="I400" s="179"/>
      <c r="J400" s="191">
        <v>0</v>
      </c>
      <c r="K400" s="191">
        <v>0</v>
      </c>
      <c r="L400" s="185" t="s">
        <v>315</v>
      </c>
      <c r="N400" s="192" t="s">
        <v>121</v>
      </c>
      <c r="O400" t="s">
        <v>320</v>
      </c>
      <c r="P400" t="s">
        <v>317</v>
      </c>
    </row>
    <row r="401" spans="2:16" ht="16.5" hidden="1" customHeight="1">
      <c r="B401" t="str">
        <f t="shared" si="19"/>
        <v>211013</v>
      </c>
      <c r="C401" s="179">
        <v>211013101503</v>
      </c>
      <c r="D401" t="s">
        <v>542</v>
      </c>
      <c r="E401" s="179"/>
      <c r="F401" s="179"/>
      <c r="G401" s="179">
        <v>0</v>
      </c>
      <c r="H401" s="179"/>
      <c r="I401" s="179"/>
      <c r="J401" s="191">
        <v>0</v>
      </c>
      <c r="K401" s="191">
        <v>0</v>
      </c>
      <c r="L401" s="185" t="s">
        <v>315</v>
      </c>
      <c r="N401" s="192" t="s">
        <v>121</v>
      </c>
      <c r="O401" t="s">
        <v>320</v>
      </c>
      <c r="P401" t="s">
        <v>317</v>
      </c>
    </row>
    <row r="402" spans="2:16" ht="16.5" hidden="1" customHeight="1">
      <c r="B402" t="str">
        <f t="shared" si="19"/>
        <v>211013</v>
      </c>
      <c r="C402" s="179">
        <v>211013101504</v>
      </c>
      <c r="D402" t="s">
        <v>543</v>
      </c>
      <c r="E402" s="179"/>
      <c r="F402" s="179"/>
      <c r="G402" s="179">
        <v>0</v>
      </c>
      <c r="H402" s="179"/>
      <c r="I402" s="179"/>
      <c r="J402" s="191">
        <v>0</v>
      </c>
      <c r="K402" s="191">
        <v>0</v>
      </c>
      <c r="L402" s="185" t="s">
        <v>315</v>
      </c>
      <c r="N402" s="192" t="s">
        <v>121</v>
      </c>
      <c r="O402" t="s">
        <v>320</v>
      </c>
      <c r="P402" t="s">
        <v>317</v>
      </c>
    </row>
    <row r="403" spans="2:16" ht="16.5" hidden="1" customHeight="1">
      <c r="B403" t="str">
        <f t="shared" si="19"/>
        <v>211013</v>
      </c>
      <c r="C403" s="179">
        <v>211013101506</v>
      </c>
      <c r="D403" t="s">
        <v>544</v>
      </c>
      <c r="E403" s="179"/>
      <c r="F403" s="179"/>
      <c r="G403" s="179">
        <v>-1107.5999999999999</v>
      </c>
      <c r="H403" s="179"/>
      <c r="I403" s="179"/>
      <c r="J403" s="191">
        <v>0</v>
      </c>
      <c r="K403" s="191">
        <v>0</v>
      </c>
      <c r="L403" s="185" t="s">
        <v>315</v>
      </c>
      <c r="N403" s="192" t="s">
        <v>121</v>
      </c>
      <c r="O403" t="s">
        <v>320</v>
      </c>
      <c r="P403" t="s">
        <v>317</v>
      </c>
    </row>
    <row r="404" spans="2:16" ht="16.5" hidden="1" customHeight="1">
      <c r="B404" t="str">
        <f t="shared" si="19"/>
        <v>211013</v>
      </c>
      <c r="C404" s="179">
        <v>211013101508</v>
      </c>
      <c r="D404" t="s">
        <v>545</v>
      </c>
      <c r="E404" s="179"/>
      <c r="F404" s="179"/>
      <c r="G404" s="179">
        <v>-200</v>
      </c>
      <c r="H404" s="179"/>
      <c r="I404" s="179"/>
      <c r="J404" s="191">
        <v>0</v>
      </c>
      <c r="K404" s="191">
        <v>0</v>
      </c>
      <c r="L404" s="185" t="s">
        <v>315</v>
      </c>
      <c r="N404" s="192" t="s">
        <v>121</v>
      </c>
      <c r="O404" t="s">
        <v>320</v>
      </c>
      <c r="P404" t="s">
        <v>317</v>
      </c>
    </row>
    <row r="405" spans="2:16" ht="16.5" hidden="1" customHeight="1">
      <c r="B405" t="str">
        <f t="shared" si="19"/>
        <v>211013</v>
      </c>
      <c r="C405" s="179">
        <v>211013101509</v>
      </c>
      <c r="D405" t="s">
        <v>546</v>
      </c>
      <c r="E405" s="179"/>
      <c r="F405" s="179"/>
      <c r="G405" s="179">
        <v>-180</v>
      </c>
      <c r="H405" s="179"/>
      <c r="I405" s="179"/>
      <c r="J405" s="191">
        <v>0</v>
      </c>
      <c r="K405" s="191">
        <v>0</v>
      </c>
      <c r="L405" s="185" t="s">
        <v>315</v>
      </c>
      <c r="N405" s="192" t="s">
        <v>121</v>
      </c>
      <c r="O405" t="s">
        <v>320</v>
      </c>
      <c r="P405" t="s">
        <v>317</v>
      </c>
    </row>
    <row r="406" spans="2:16" ht="16.5" hidden="1" customHeight="1">
      <c r="B406" t="str">
        <f t="shared" si="19"/>
        <v>211013</v>
      </c>
      <c r="C406" s="179">
        <v>211013101517</v>
      </c>
      <c r="D406" t="s">
        <v>547</v>
      </c>
      <c r="E406" s="179"/>
      <c r="F406" s="179"/>
      <c r="G406" s="179">
        <v>0</v>
      </c>
      <c r="H406" s="179"/>
      <c r="I406" s="179"/>
      <c r="J406" s="191">
        <v>0</v>
      </c>
      <c r="K406" s="191">
        <v>0</v>
      </c>
      <c r="L406" s="185" t="s">
        <v>315</v>
      </c>
      <c r="N406" s="192" t="s">
        <v>121</v>
      </c>
      <c r="O406" t="s">
        <v>320</v>
      </c>
      <c r="P406" t="s">
        <v>317</v>
      </c>
    </row>
    <row r="407" spans="2:16" ht="16.5" hidden="1" customHeight="1">
      <c r="B407" t="str">
        <f t="shared" si="19"/>
        <v>211013</v>
      </c>
      <c r="C407" s="179">
        <v>211013101518</v>
      </c>
      <c r="D407" t="s">
        <v>548</v>
      </c>
      <c r="E407" s="179"/>
      <c r="F407" s="179"/>
      <c r="G407" s="179">
        <v>0</v>
      </c>
      <c r="H407" s="179"/>
      <c r="I407" s="179"/>
      <c r="J407" s="191">
        <v>-200</v>
      </c>
      <c r="K407" s="191">
        <v>0</v>
      </c>
      <c r="L407" s="185" t="s">
        <v>315</v>
      </c>
      <c r="N407" s="192" t="s">
        <v>121</v>
      </c>
      <c r="O407" t="s">
        <v>320</v>
      </c>
      <c r="P407" t="s">
        <v>317</v>
      </c>
    </row>
    <row r="408" spans="2:16" ht="16.5" hidden="1" customHeight="1">
      <c r="B408" t="str">
        <f t="shared" si="19"/>
        <v>211013</v>
      </c>
      <c r="C408" s="179">
        <v>211013101524</v>
      </c>
      <c r="D408" t="s">
        <v>549</v>
      </c>
      <c r="E408" s="179"/>
      <c r="F408" s="179"/>
      <c r="G408" s="179">
        <v>-106</v>
      </c>
      <c r="H408" s="179"/>
      <c r="I408" s="179"/>
      <c r="J408" s="191">
        <v>0</v>
      </c>
      <c r="K408" s="191">
        <v>0</v>
      </c>
      <c r="L408" s="185" t="s">
        <v>315</v>
      </c>
      <c r="N408" s="192" t="s">
        <v>121</v>
      </c>
      <c r="O408" t="s">
        <v>320</v>
      </c>
      <c r="P408" t="s">
        <v>317</v>
      </c>
    </row>
    <row r="409" spans="2:16" ht="16.5" hidden="1" customHeight="1">
      <c r="B409" t="str">
        <f t="shared" si="19"/>
        <v>211013</v>
      </c>
      <c r="C409" s="179">
        <v>211013101526</v>
      </c>
      <c r="D409" t="s">
        <v>550</v>
      </c>
      <c r="E409" s="179"/>
      <c r="F409" s="179"/>
      <c r="G409" s="179">
        <v>-11000</v>
      </c>
      <c r="H409" s="179"/>
      <c r="I409" s="179"/>
      <c r="J409" s="191">
        <v>0</v>
      </c>
      <c r="K409" s="191">
        <v>-11000</v>
      </c>
      <c r="L409" s="185" t="s">
        <v>315</v>
      </c>
      <c r="N409" s="192" t="s">
        <v>121</v>
      </c>
      <c r="O409" t="s">
        <v>320</v>
      </c>
      <c r="P409" t="s">
        <v>317</v>
      </c>
    </row>
    <row r="410" spans="2:16" ht="16.5" hidden="1" customHeight="1">
      <c r="B410" t="str">
        <f t="shared" si="19"/>
        <v>211013</v>
      </c>
      <c r="C410" s="179">
        <v>211013101527</v>
      </c>
      <c r="D410" t="s">
        <v>551</v>
      </c>
      <c r="E410" s="179"/>
      <c r="F410" s="179"/>
      <c r="G410" s="179">
        <v>0</v>
      </c>
      <c r="H410" s="179"/>
      <c r="I410" s="179"/>
      <c r="J410" s="191">
        <v>0</v>
      </c>
      <c r="K410" s="191">
        <v>0</v>
      </c>
      <c r="L410" s="185" t="s">
        <v>315</v>
      </c>
      <c r="N410" s="192" t="s">
        <v>121</v>
      </c>
      <c r="O410" t="s">
        <v>320</v>
      </c>
      <c r="P410" t="s">
        <v>317</v>
      </c>
    </row>
    <row r="411" spans="2:16" ht="16.5" hidden="1" customHeight="1">
      <c r="B411" t="str">
        <f t="shared" si="19"/>
        <v>211013</v>
      </c>
      <c r="C411" s="179">
        <v>211013101528</v>
      </c>
      <c r="D411" t="s">
        <v>552</v>
      </c>
      <c r="E411" s="179"/>
      <c r="F411" s="179"/>
      <c r="G411" s="179">
        <v>0</v>
      </c>
      <c r="H411" s="179"/>
      <c r="I411" s="179"/>
      <c r="J411" s="191">
        <v>0</v>
      </c>
      <c r="K411" s="191">
        <v>0.01</v>
      </c>
      <c r="L411" s="185" t="s">
        <v>315</v>
      </c>
      <c r="N411" s="192" t="s">
        <v>121</v>
      </c>
      <c r="O411" t="s">
        <v>320</v>
      </c>
      <c r="P411" t="s">
        <v>317</v>
      </c>
    </row>
    <row r="412" spans="2:16" ht="16.5" hidden="1" customHeight="1">
      <c r="B412" t="str">
        <f t="shared" si="19"/>
        <v>211013</v>
      </c>
      <c r="C412" s="179">
        <v>211013101531</v>
      </c>
      <c r="D412" t="s">
        <v>553</v>
      </c>
      <c r="E412" s="179"/>
      <c r="F412" s="179"/>
      <c r="G412" s="179">
        <v>-1700</v>
      </c>
      <c r="H412" s="179"/>
      <c r="I412" s="179"/>
      <c r="J412" s="191">
        <v>-11000</v>
      </c>
      <c r="K412" s="191">
        <v>0</v>
      </c>
      <c r="L412" s="185" t="s">
        <v>315</v>
      </c>
      <c r="N412" s="192" t="s">
        <v>121</v>
      </c>
      <c r="O412" t="s">
        <v>320</v>
      </c>
      <c r="P412" t="s">
        <v>317</v>
      </c>
    </row>
    <row r="413" spans="2:16" ht="16.5" hidden="1" customHeight="1">
      <c r="B413" t="str">
        <f t="shared" si="19"/>
        <v>211013</v>
      </c>
      <c r="C413" s="179">
        <v>211013101536</v>
      </c>
      <c r="D413" t="s">
        <v>554</v>
      </c>
      <c r="E413" s="179"/>
      <c r="F413" s="179"/>
      <c r="G413" s="179">
        <v>0</v>
      </c>
      <c r="H413" s="179"/>
      <c r="I413" s="179"/>
      <c r="J413" s="191">
        <v>0</v>
      </c>
      <c r="K413" s="191">
        <v>0</v>
      </c>
      <c r="L413" s="185" t="s">
        <v>315</v>
      </c>
      <c r="N413" s="192" t="s">
        <v>121</v>
      </c>
      <c r="O413" t="s">
        <v>320</v>
      </c>
      <c r="P413" t="s">
        <v>317</v>
      </c>
    </row>
    <row r="414" spans="2:16" ht="16.5" hidden="1" customHeight="1">
      <c r="B414" t="str">
        <f t="shared" si="19"/>
        <v>211013</v>
      </c>
      <c r="C414" s="179">
        <v>211013101546</v>
      </c>
      <c r="D414" t="s">
        <v>555</v>
      </c>
      <c r="E414" s="179"/>
      <c r="F414" s="179"/>
      <c r="G414" s="179">
        <v>0</v>
      </c>
      <c r="H414" s="179"/>
      <c r="I414" s="179"/>
      <c r="J414" s="191">
        <v>0</v>
      </c>
      <c r="K414" s="191">
        <v>-13466.46</v>
      </c>
      <c r="L414" s="185" t="s">
        <v>315</v>
      </c>
      <c r="N414" s="192" t="s">
        <v>121</v>
      </c>
      <c r="O414" t="s">
        <v>320</v>
      </c>
      <c r="P414" t="s">
        <v>317</v>
      </c>
    </row>
    <row r="415" spans="2:16" ht="16.5" hidden="1" customHeight="1">
      <c r="B415" t="str">
        <f t="shared" si="19"/>
        <v>211013</v>
      </c>
      <c r="C415" s="179">
        <v>211013101548</v>
      </c>
      <c r="D415" t="s">
        <v>556</v>
      </c>
      <c r="E415" s="179"/>
      <c r="F415" s="179"/>
      <c r="G415" s="179">
        <v>0</v>
      </c>
      <c r="H415" s="179"/>
      <c r="I415" s="179"/>
      <c r="J415" s="191">
        <v>0</v>
      </c>
      <c r="K415" s="191">
        <v>0</v>
      </c>
      <c r="L415" s="185" t="s">
        <v>315</v>
      </c>
      <c r="N415" s="192" t="s">
        <v>121</v>
      </c>
      <c r="O415" t="s">
        <v>320</v>
      </c>
      <c r="P415" t="s">
        <v>317</v>
      </c>
    </row>
    <row r="416" spans="2:16" ht="16.5" hidden="1" customHeight="1">
      <c r="B416" t="str">
        <f t="shared" si="19"/>
        <v>211013</v>
      </c>
      <c r="C416" s="179">
        <v>211013101551</v>
      </c>
      <c r="D416" t="s">
        <v>557</v>
      </c>
      <c r="E416" s="179"/>
      <c r="F416" s="179"/>
      <c r="G416" s="179">
        <v>0</v>
      </c>
      <c r="H416" s="179"/>
      <c r="I416" s="179"/>
      <c r="J416" s="191">
        <v>0</v>
      </c>
      <c r="K416" s="191">
        <v>0</v>
      </c>
      <c r="L416" s="185" t="s">
        <v>315</v>
      </c>
      <c r="N416" s="192" t="s">
        <v>121</v>
      </c>
      <c r="O416" t="s">
        <v>320</v>
      </c>
      <c r="P416" t="s">
        <v>317</v>
      </c>
    </row>
    <row r="417" spans="2:16" ht="16.5" hidden="1" customHeight="1">
      <c r="B417" t="str">
        <f t="shared" si="19"/>
        <v>211013</v>
      </c>
      <c r="C417" s="179">
        <v>211013101553</v>
      </c>
      <c r="D417" t="s">
        <v>558</v>
      </c>
      <c r="E417" s="179"/>
      <c r="F417" s="179"/>
      <c r="G417" s="179">
        <v>-290921.89</v>
      </c>
      <c r="H417" s="179"/>
      <c r="I417" s="179"/>
      <c r="J417" s="191">
        <v>-11523.89</v>
      </c>
      <c r="K417" s="191">
        <v>0</v>
      </c>
      <c r="L417" s="185" t="s">
        <v>315</v>
      </c>
      <c r="N417" s="192" t="s">
        <v>121</v>
      </c>
      <c r="O417" t="s">
        <v>320</v>
      </c>
      <c r="P417" t="s">
        <v>317</v>
      </c>
    </row>
    <row r="418" spans="2:16" ht="16.5" hidden="1" customHeight="1">
      <c r="B418" t="str">
        <f t="shared" si="19"/>
        <v>211013</v>
      </c>
      <c r="C418" s="179">
        <v>211013101562</v>
      </c>
      <c r="D418" t="s">
        <v>559</v>
      </c>
      <c r="E418" s="179"/>
      <c r="F418" s="179"/>
      <c r="G418" s="179">
        <v>-3500</v>
      </c>
      <c r="H418" s="179"/>
      <c r="I418" s="179"/>
      <c r="J418" s="191">
        <v>0</v>
      </c>
      <c r="K418" s="191">
        <v>0</v>
      </c>
      <c r="L418" s="185" t="s">
        <v>315</v>
      </c>
      <c r="N418" s="192" t="s">
        <v>121</v>
      </c>
      <c r="O418" t="s">
        <v>320</v>
      </c>
      <c r="P418" t="s">
        <v>317</v>
      </c>
    </row>
    <row r="419" spans="2:16" ht="16.5" hidden="1" customHeight="1">
      <c r="B419" t="str">
        <f t="shared" si="19"/>
        <v>211013</v>
      </c>
      <c r="C419" s="179">
        <v>211013101569</v>
      </c>
      <c r="D419" t="s">
        <v>560</v>
      </c>
      <c r="E419" s="179"/>
      <c r="F419" s="179"/>
      <c r="G419" s="179">
        <v>-536.53</v>
      </c>
      <c r="H419" s="179"/>
      <c r="I419" s="179"/>
      <c r="J419" s="191">
        <v>0</v>
      </c>
      <c r="K419" s="191">
        <v>0</v>
      </c>
      <c r="L419" s="185" t="s">
        <v>315</v>
      </c>
      <c r="N419" s="192" t="s">
        <v>121</v>
      </c>
      <c r="O419" t="s">
        <v>320</v>
      </c>
      <c r="P419" t="s">
        <v>317</v>
      </c>
    </row>
    <row r="420" spans="2:16" ht="16.5" hidden="1" customHeight="1">
      <c r="B420" t="str">
        <f t="shared" si="19"/>
        <v>211013</v>
      </c>
      <c r="C420" s="179">
        <v>211013101580</v>
      </c>
      <c r="D420" t="s">
        <v>561</v>
      </c>
      <c r="E420" s="179"/>
      <c r="F420" s="179"/>
      <c r="G420" s="179">
        <v>-368407.01</v>
      </c>
      <c r="H420" s="179"/>
      <c r="I420" s="179"/>
      <c r="J420" s="191">
        <v>0</v>
      </c>
      <c r="K420" s="191">
        <v>-285278.3</v>
      </c>
      <c r="L420" s="185" t="s">
        <v>315</v>
      </c>
      <c r="N420" s="192" t="s">
        <v>121</v>
      </c>
      <c r="O420" t="s">
        <v>320</v>
      </c>
      <c r="P420" t="s">
        <v>317</v>
      </c>
    </row>
    <row r="421" spans="2:16" ht="16.5" hidden="1" customHeight="1">
      <c r="B421" t="str">
        <f t="shared" si="19"/>
        <v>211013</v>
      </c>
      <c r="C421" s="179">
        <v>211013101581</v>
      </c>
      <c r="D421" t="s">
        <v>562</v>
      </c>
      <c r="E421" s="179"/>
      <c r="F421" s="179"/>
      <c r="G421" s="179">
        <v>0</v>
      </c>
      <c r="H421" s="179"/>
      <c r="I421" s="179"/>
      <c r="J421" s="191">
        <v>0</v>
      </c>
      <c r="K421" s="191">
        <v>0</v>
      </c>
      <c r="L421" s="185" t="s">
        <v>315</v>
      </c>
      <c r="N421" s="192" t="s">
        <v>121</v>
      </c>
      <c r="O421" t="s">
        <v>320</v>
      </c>
      <c r="P421" t="s">
        <v>317</v>
      </c>
    </row>
    <row r="422" spans="2:16" ht="16.5" hidden="1" customHeight="1">
      <c r="B422" t="str">
        <f t="shared" si="19"/>
        <v>211013</v>
      </c>
      <c r="C422" s="179">
        <v>211013101582</v>
      </c>
      <c r="D422" t="s">
        <v>563</v>
      </c>
      <c r="E422" s="179"/>
      <c r="F422" s="179"/>
      <c r="G422" s="179">
        <v>-113740.08</v>
      </c>
      <c r="H422" s="179"/>
      <c r="I422" s="179"/>
      <c r="J422" s="191">
        <v>0</v>
      </c>
      <c r="K422" s="191">
        <v>0</v>
      </c>
      <c r="L422" s="185" t="s">
        <v>315</v>
      </c>
      <c r="N422" s="192" t="s">
        <v>121</v>
      </c>
      <c r="O422" t="s">
        <v>320</v>
      </c>
      <c r="P422" t="s">
        <v>317</v>
      </c>
    </row>
    <row r="423" spans="2:16" ht="16.5" hidden="1" customHeight="1">
      <c r="B423" t="str">
        <f t="shared" si="19"/>
        <v>211013</v>
      </c>
      <c r="C423" s="179">
        <v>211013101583</v>
      </c>
      <c r="D423" t="s">
        <v>564</v>
      </c>
      <c r="E423" s="179"/>
      <c r="F423" s="179"/>
      <c r="G423" s="179">
        <v>0</v>
      </c>
      <c r="H423" s="179"/>
      <c r="I423" s="179"/>
      <c r="J423" s="191">
        <v>-179979.66</v>
      </c>
      <c r="K423" s="191">
        <v>0</v>
      </c>
      <c r="L423" s="185" t="s">
        <v>315</v>
      </c>
      <c r="N423" s="192" t="s">
        <v>121</v>
      </c>
      <c r="O423" t="s">
        <v>320</v>
      </c>
      <c r="P423" t="s">
        <v>317</v>
      </c>
    </row>
    <row r="424" spans="2:16" ht="16.5" hidden="1" customHeight="1">
      <c r="B424" t="str">
        <f t="shared" si="19"/>
        <v>211013</v>
      </c>
      <c r="C424" s="179">
        <v>211013101585</v>
      </c>
      <c r="D424" t="s">
        <v>565</v>
      </c>
      <c r="E424" s="179"/>
      <c r="F424" s="179"/>
      <c r="G424" s="179">
        <v>0</v>
      </c>
      <c r="H424" s="179"/>
      <c r="I424" s="179"/>
      <c r="J424" s="191">
        <v>0</v>
      </c>
      <c r="K424" s="191">
        <v>0</v>
      </c>
      <c r="L424" s="185" t="s">
        <v>315</v>
      </c>
      <c r="N424" s="192" t="s">
        <v>121</v>
      </c>
      <c r="O424" t="s">
        <v>320</v>
      </c>
      <c r="P424" t="s">
        <v>317</v>
      </c>
    </row>
    <row r="425" spans="2:16" ht="16.5" hidden="1" customHeight="1">
      <c r="B425" t="str">
        <f t="shared" si="19"/>
        <v>211013</v>
      </c>
      <c r="C425" s="179">
        <v>211013101586</v>
      </c>
      <c r="D425" t="s">
        <v>566</v>
      </c>
      <c r="E425" s="179"/>
      <c r="F425" s="179"/>
      <c r="G425" s="179">
        <v>-330</v>
      </c>
      <c r="H425" s="179"/>
      <c r="I425" s="179"/>
      <c r="J425" s="191">
        <v>0</v>
      </c>
      <c r="K425" s="191">
        <v>-330</v>
      </c>
      <c r="L425" s="185" t="s">
        <v>315</v>
      </c>
      <c r="N425" s="192" t="s">
        <v>121</v>
      </c>
      <c r="O425" t="s">
        <v>320</v>
      </c>
      <c r="P425" t="s">
        <v>317</v>
      </c>
    </row>
    <row r="426" spans="2:16" ht="16.5" hidden="1" customHeight="1">
      <c r="B426" t="str">
        <f t="shared" si="19"/>
        <v>211013</v>
      </c>
      <c r="C426" s="179">
        <v>211013101589</v>
      </c>
      <c r="D426" t="s">
        <v>567</v>
      </c>
      <c r="E426" s="179"/>
      <c r="F426" s="179"/>
      <c r="G426" s="179">
        <v>-33913.15</v>
      </c>
      <c r="H426" s="179"/>
      <c r="I426" s="179"/>
      <c r="J426" s="191">
        <v>0</v>
      </c>
      <c r="K426" s="191">
        <v>0</v>
      </c>
      <c r="L426" s="185" t="s">
        <v>315</v>
      </c>
      <c r="N426" s="192" t="s">
        <v>121</v>
      </c>
      <c r="O426" t="s">
        <v>320</v>
      </c>
      <c r="P426" t="s">
        <v>317</v>
      </c>
    </row>
    <row r="427" spans="2:16" ht="16.5" hidden="1" customHeight="1">
      <c r="B427" t="str">
        <f t="shared" ref="B427:B490" si="20">LEFT(C427,6)</f>
        <v>211013</v>
      </c>
      <c r="C427" s="179">
        <v>211013101592</v>
      </c>
      <c r="D427" t="s">
        <v>568</v>
      </c>
      <c r="E427" s="179"/>
      <c r="F427" s="179"/>
      <c r="G427" s="179">
        <v>-900</v>
      </c>
      <c r="H427" s="179"/>
      <c r="I427" s="179"/>
      <c r="J427" s="191">
        <v>0</v>
      </c>
      <c r="K427" s="191">
        <v>0</v>
      </c>
      <c r="L427" s="185" t="s">
        <v>315</v>
      </c>
      <c r="N427" s="192" t="s">
        <v>121</v>
      </c>
      <c r="O427" t="s">
        <v>320</v>
      </c>
      <c r="P427" t="s">
        <v>317</v>
      </c>
    </row>
    <row r="428" spans="2:16" ht="16.5" hidden="1" customHeight="1">
      <c r="B428" t="str">
        <f t="shared" si="20"/>
        <v>211013</v>
      </c>
      <c r="C428" s="179">
        <v>211013101598</v>
      </c>
      <c r="D428" t="s">
        <v>569</v>
      </c>
      <c r="E428" s="179"/>
      <c r="F428" s="179"/>
      <c r="G428" s="179">
        <v>-69635.92</v>
      </c>
      <c r="H428" s="179"/>
      <c r="I428" s="179"/>
      <c r="J428" s="191">
        <v>-330</v>
      </c>
      <c r="K428" s="191">
        <v>-69635.92</v>
      </c>
      <c r="L428" s="185" t="s">
        <v>315</v>
      </c>
      <c r="N428" s="192" t="s">
        <v>121</v>
      </c>
      <c r="O428" t="s">
        <v>320</v>
      </c>
      <c r="P428" t="s">
        <v>317</v>
      </c>
    </row>
    <row r="429" spans="2:16" ht="16.5" hidden="1" customHeight="1">
      <c r="B429" t="str">
        <f t="shared" si="20"/>
        <v>211013</v>
      </c>
      <c r="C429" s="179">
        <v>211013101602</v>
      </c>
      <c r="D429" t="s">
        <v>570</v>
      </c>
      <c r="E429" s="179"/>
      <c r="F429" s="179"/>
      <c r="G429" s="179">
        <v>-11046.77</v>
      </c>
      <c r="H429" s="179"/>
      <c r="I429" s="179"/>
      <c r="J429" s="191">
        <v>0</v>
      </c>
      <c r="K429" s="191">
        <v>0</v>
      </c>
      <c r="L429" s="185" t="s">
        <v>315</v>
      </c>
      <c r="N429" s="192" t="s">
        <v>121</v>
      </c>
      <c r="O429" t="s">
        <v>320</v>
      </c>
      <c r="P429" t="s">
        <v>317</v>
      </c>
    </row>
    <row r="430" spans="2:16" ht="16.5" hidden="1" customHeight="1">
      <c r="B430" t="str">
        <f t="shared" si="20"/>
        <v>211013</v>
      </c>
      <c r="C430" s="179">
        <v>211013101603</v>
      </c>
      <c r="D430" t="s">
        <v>571</v>
      </c>
      <c r="E430" s="179"/>
      <c r="F430" s="179"/>
      <c r="G430" s="179">
        <v>-99.9</v>
      </c>
      <c r="H430" s="179"/>
      <c r="I430" s="179"/>
      <c r="J430" s="191">
        <v>0</v>
      </c>
      <c r="K430" s="191">
        <v>-99.9</v>
      </c>
      <c r="L430" s="185" t="s">
        <v>315</v>
      </c>
      <c r="N430" s="192" t="s">
        <v>121</v>
      </c>
      <c r="O430" t="s">
        <v>320</v>
      </c>
      <c r="P430" t="s">
        <v>317</v>
      </c>
    </row>
    <row r="431" spans="2:16" ht="16.5" hidden="1" customHeight="1">
      <c r="B431" t="str">
        <f t="shared" si="20"/>
        <v>211013</v>
      </c>
      <c r="C431" s="179">
        <v>211013101682</v>
      </c>
      <c r="D431" t="s">
        <v>572</v>
      </c>
      <c r="E431" s="179"/>
      <c r="F431" s="179"/>
      <c r="G431" s="179">
        <v>0.01</v>
      </c>
      <c r="H431" s="179"/>
      <c r="I431" s="179"/>
      <c r="J431" s="191">
        <v>-69635.92</v>
      </c>
      <c r="K431" s="191">
        <v>0</v>
      </c>
      <c r="L431" s="185" t="s">
        <v>315</v>
      </c>
      <c r="N431" s="192" t="s">
        <v>121</v>
      </c>
      <c r="O431" t="s">
        <v>320</v>
      </c>
      <c r="P431" t="s">
        <v>317</v>
      </c>
    </row>
    <row r="432" spans="2:16" ht="16.5" hidden="1" customHeight="1">
      <c r="B432" t="str">
        <f t="shared" si="20"/>
        <v>211013</v>
      </c>
      <c r="C432" s="179">
        <v>211013101689</v>
      </c>
      <c r="D432" t="s">
        <v>573</v>
      </c>
      <c r="E432" s="179"/>
      <c r="F432" s="179"/>
      <c r="G432" s="179">
        <v>0</v>
      </c>
      <c r="H432" s="179"/>
      <c r="I432" s="179"/>
      <c r="J432" s="191">
        <v>0</v>
      </c>
      <c r="K432" s="191">
        <v>0</v>
      </c>
      <c r="L432" s="185" t="s">
        <v>315</v>
      </c>
      <c r="N432" s="192" t="s">
        <v>121</v>
      </c>
      <c r="O432" t="s">
        <v>320</v>
      </c>
      <c r="P432" t="s">
        <v>317</v>
      </c>
    </row>
    <row r="433" spans="2:16" ht="16.5" hidden="1" customHeight="1">
      <c r="B433" t="str">
        <f t="shared" si="20"/>
        <v>211013</v>
      </c>
      <c r="C433" s="179">
        <v>211013101691</v>
      </c>
      <c r="D433" t="s">
        <v>574</v>
      </c>
      <c r="E433" s="179"/>
      <c r="F433" s="179"/>
      <c r="G433" s="179">
        <v>0</v>
      </c>
      <c r="H433" s="179"/>
      <c r="I433" s="179"/>
      <c r="J433" s="191">
        <v>-133.08000000000001</v>
      </c>
      <c r="K433" s="191">
        <v>0</v>
      </c>
      <c r="L433" s="185" t="s">
        <v>315</v>
      </c>
      <c r="N433" s="192" t="s">
        <v>121</v>
      </c>
      <c r="O433" t="s">
        <v>320</v>
      </c>
      <c r="P433" t="s">
        <v>317</v>
      </c>
    </row>
    <row r="434" spans="2:16" ht="16.5" hidden="1" customHeight="1">
      <c r="B434" t="str">
        <f t="shared" si="20"/>
        <v>211013</v>
      </c>
      <c r="C434" s="179">
        <v>211013101693</v>
      </c>
      <c r="D434" t="s">
        <v>575</v>
      </c>
      <c r="E434" s="179"/>
      <c r="F434" s="179"/>
      <c r="G434" s="179">
        <v>0</v>
      </c>
      <c r="H434" s="179"/>
      <c r="I434" s="179"/>
      <c r="J434" s="191">
        <v>0</v>
      </c>
      <c r="K434" s="191">
        <v>0</v>
      </c>
      <c r="L434" s="185" t="s">
        <v>315</v>
      </c>
      <c r="N434" s="192" t="s">
        <v>121</v>
      </c>
      <c r="O434" t="s">
        <v>320</v>
      </c>
      <c r="P434" t="s">
        <v>317</v>
      </c>
    </row>
    <row r="435" spans="2:16" ht="16.5" hidden="1" customHeight="1">
      <c r="B435" t="str">
        <f t="shared" si="20"/>
        <v>211013</v>
      </c>
      <c r="C435" s="179">
        <v>211013101699</v>
      </c>
      <c r="D435" t="s">
        <v>576</v>
      </c>
      <c r="E435" s="179"/>
      <c r="F435" s="179"/>
      <c r="G435" s="179">
        <v>-3792</v>
      </c>
      <c r="H435" s="179"/>
      <c r="I435" s="179"/>
      <c r="J435" s="191">
        <v>0</v>
      </c>
      <c r="K435" s="191">
        <v>0</v>
      </c>
      <c r="L435" s="185" t="s">
        <v>315</v>
      </c>
      <c r="N435" s="192" t="s">
        <v>121</v>
      </c>
      <c r="O435" t="s">
        <v>320</v>
      </c>
      <c r="P435" t="s">
        <v>317</v>
      </c>
    </row>
    <row r="436" spans="2:16" ht="16.5" hidden="1" customHeight="1">
      <c r="B436" t="str">
        <f t="shared" si="20"/>
        <v>211013</v>
      </c>
      <c r="C436" s="179">
        <v>211013101700</v>
      </c>
      <c r="D436" t="s">
        <v>577</v>
      </c>
      <c r="E436" s="179"/>
      <c r="F436" s="179"/>
      <c r="G436" s="179">
        <v>0</v>
      </c>
      <c r="H436" s="179"/>
      <c r="I436" s="179"/>
      <c r="J436" s="191">
        <v>0</v>
      </c>
      <c r="K436" s="191">
        <v>-310</v>
      </c>
      <c r="L436" s="185" t="s">
        <v>315</v>
      </c>
      <c r="N436" s="192" t="s">
        <v>121</v>
      </c>
      <c r="O436" t="s">
        <v>320</v>
      </c>
      <c r="P436" t="s">
        <v>317</v>
      </c>
    </row>
    <row r="437" spans="2:16" ht="16.5" hidden="1" customHeight="1">
      <c r="B437" t="str">
        <f t="shared" si="20"/>
        <v>211013</v>
      </c>
      <c r="C437" s="179">
        <v>211013101702</v>
      </c>
      <c r="D437" t="s">
        <v>578</v>
      </c>
      <c r="E437" s="179"/>
      <c r="F437" s="179"/>
      <c r="G437" s="179">
        <v>-5567.62</v>
      </c>
      <c r="H437" s="179"/>
      <c r="I437" s="179"/>
      <c r="J437" s="191">
        <v>0</v>
      </c>
      <c r="K437" s="191">
        <v>0</v>
      </c>
      <c r="L437" s="185" t="s">
        <v>315</v>
      </c>
      <c r="N437" s="192" t="s">
        <v>121</v>
      </c>
      <c r="O437" t="s">
        <v>320</v>
      </c>
      <c r="P437" t="s">
        <v>317</v>
      </c>
    </row>
    <row r="438" spans="2:16" ht="16.5" hidden="1" customHeight="1">
      <c r="B438" t="str">
        <f t="shared" si="20"/>
        <v>211013</v>
      </c>
      <c r="C438" s="179">
        <v>211013101703</v>
      </c>
      <c r="D438" t="s">
        <v>579</v>
      </c>
      <c r="E438" s="179"/>
      <c r="F438" s="179"/>
      <c r="G438" s="179">
        <v>-0.01</v>
      </c>
      <c r="H438" s="179"/>
      <c r="I438" s="179"/>
      <c r="J438" s="191">
        <v>0</v>
      </c>
      <c r="K438" s="191">
        <v>0</v>
      </c>
      <c r="L438" s="185" t="s">
        <v>315</v>
      </c>
      <c r="N438" s="192" t="s">
        <v>121</v>
      </c>
      <c r="O438" t="s">
        <v>320</v>
      </c>
      <c r="P438" t="s">
        <v>317</v>
      </c>
    </row>
    <row r="439" spans="2:16" ht="16.5" hidden="1" customHeight="1">
      <c r="B439" t="str">
        <f t="shared" si="20"/>
        <v>211013</v>
      </c>
      <c r="C439" s="179">
        <v>211013101707</v>
      </c>
      <c r="D439" t="s">
        <v>580</v>
      </c>
      <c r="E439" s="179"/>
      <c r="F439" s="179"/>
      <c r="G439" s="179">
        <v>-7952.36</v>
      </c>
      <c r="H439" s="179"/>
      <c r="I439" s="179"/>
      <c r="J439" s="191">
        <v>0</v>
      </c>
      <c r="K439" s="191">
        <v>0</v>
      </c>
      <c r="L439" s="185" t="s">
        <v>315</v>
      </c>
      <c r="N439" s="192" t="s">
        <v>121</v>
      </c>
      <c r="O439" t="s">
        <v>320</v>
      </c>
      <c r="P439" t="s">
        <v>317</v>
      </c>
    </row>
    <row r="440" spans="2:16" ht="16.5" hidden="1" customHeight="1">
      <c r="B440" t="str">
        <f t="shared" si="20"/>
        <v>211013</v>
      </c>
      <c r="C440" s="179">
        <v>211013101708</v>
      </c>
      <c r="D440" t="s">
        <v>581</v>
      </c>
      <c r="E440" s="179"/>
      <c r="F440" s="179"/>
      <c r="G440" s="179">
        <v>0</v>
      </c>
      <c r="H440" s="179"/>
      <c r="I440" s="179"/>
      <c r="J440" s="191">
        <v>0</v>
      </c>
      <c r="K440" s="191">
        <v>0</v>
      </c>
      <c r="L440" s="185" t="s">
        <v>315</v>
      </c>
      <c r="N440" s="192" t="s">
        <v>121</v>
      </c>
      <c r="O440" t="s">
        <v>320</v>
      </c>
      <c r="P440" t="s">
        <v>317</v>
      </c>
    </row>
    <row r="441" spans="2:16" ht="16.5" hidden="1" customHeight="1">
      <c r="B441" t="str">
        <f t="shared" si="20"/>
        <v>211013</v>
      </c>
      <c r="C441" s="179">
        <v>211013101710</v>
      </c>
      <c r="D441" t="s">
        <v>582</v>
      </c>
      <c r="E441" s="179"/>
      <c r="F441" s="179"/>
      <c r="G441" s="179">
        <v>0</v>
      </c>
      <c r="H441" s="179"/>
      <c r="I441" s="179"/>
      <c r="J441" s="191">
        <v>0</v>
      </c>
      <c r="K441" s="191">
        <v>0</v>
      </c>
      <c r="L441" s="185" t="s">
        <v>315</v>
      </c>
      <c r="N441" s="192" t="s">
        <v>121</v>
      </c>
      <c r="O441" t="s">
        <v>320</v>
      </c>
      <c r="P441" t="s">
        <v>317</v>
      </c>
    </row>
    <row r="442" spans="2:16" ht="16.5" hidden="1" customHeight="1">
      <c r="B442" t="str">
        <f t="shared" si="20"/>
        <v>211013</v>
      </c>
      <c r="C442" s="179">
        <v>211013101713</v>
      </c>
      <c r="D442" t="s">
        <v>583</v>
      </c>
      <c r="E442" s="179"/>
      <c r="F442" s="179"/>
      <c r="G442" s="179">
        <v>-9739.9699999999993</v>
      </c>
      <c r="H442" s="179"/>
      <c r="I442" s="179"/>
      <c r="J442" s="191">
        <v>0</v>
      </c>
      <c r="K442" s="191">
        <v>0</v>
      </c>
      <c r="L442" s="185" t="s">
        <v>315</v>
      </c>
      <c r="N442" s="192" t="s">
        <v>121</v>
      </c>
      <c r="O442" t="s">
        <v>320</v>
      </c>
      <c r="P442" t="s">
        <v>317</v>
      </c>
    </row>
    <row r="443" spans="2:16" ht="16.5" hidden="1" customHeight="1">
      <c r="B443" t="str">
        <f t="shared" si="20"/>
        <v>211013</v>
      </c>
      <c r="C443" s="179">
        <v>211013101714</v>
      </c>
      <c r="D443" t="s">
        <v>584</v>
      </c>
      <c r="E443" s="179"/>
      <c r="F443" s="179"/>
      <c r="G443" s="179">
        <v>0</v>
      </c>
      <c r="H443" s="179"/>
      <c r="I443" s="179"/>
      <c r="J443" s="191">
        <v>0</v>
      </c>
      <c r="K443" s="191">
        <v>0</v>
      </c>
      <c r="L443" s="185" t="s">
        <v>315</v>
      </c>
      <c r="N443" s="192" t="s">
        <v>121</v>
      </c>
      <c r="O443" t="s">
        <v>320</v>
      </c>
      <c r="P443" t="s">
        <v>317</v>
      </c>
    </row>
    <row r="444" spans="2:16" ht="16.5" hidden="1" customHeight="1">
      <c r="B444" t="str">
        <f t="shared" si="20"/>
        <v>211013</v>
      </c>
      <c r="C444" s="179">
        <v>211013101717</v>
      </c>
      <c r="D444" t="s">
        <v>585</v>
      </c>
      <c r="E444" s="179"/>
      <c r="F444" s="179"/>
      <c r="G444" s="179">
        <v>0</v>
      </c>
      <c r="H444" s="179"/>
      <c r="I444" s="179"/>
      <c r="J444" s="191">
        <v>0</v>
      </c>
      <c r="K444" s="191">
        <v>0</v>
      </c>
      <c r="L444" s="185" t="s">
        <v>315</v>
      </c>
      <c r="N444" s="192" t="s">
        <v>121</v>
      </c>
      <c r="O444" t="s">
        <v>320</v>
      </c>
      <c r="P444" t="s">
        <v>317</v>
      </c>
    </row>
    <row r="445" spans="2:16" ht="16.5" hidden="1" customHeight="1">
      <c r="B445" t="str">
        <f t="shared" si="20"/>
        <v>211013</v>
      </c>
      <c r="C445" s="179">
        <v>211013101721</v>
      </c>
      <c r="D445" t="s">
        <v>586</v>
      </c>
      <c r="E445" s="179"/>
      <c r="F445" s="179"/>
      <c r="G445" s="179">
        <v>-612.59</v>
      </c>
      <c r="H445" s="179"/>
      <c r="I445" s="179"/>
      <c r="J445" s="191">
        <v>0</v>
      </c>
      <c r="K445" s="191">
        <v>-247.56</v>
      </c>
      <c r="L445" s="185" t="s">
        <v>315</v>
      </c>
      <c r="N445" s="192" t="s">
        <v>121</v>
      </c>
      <c r="O445" t="s">
        <v>320</v>
      </c>
      <c r="P445" t="s">
        <v>317</v>
      </c>
    </row>
    <row r="446" spans="2:16" ht="16.5" hidden="1" customHeight="1">
      <c r="B446" t="str">
        <f t="shared" si="20"/>
        <v>211013</v>
      </c>
      <c r="C446" s="179">
        <v>211013101722</v>
      </c>
      <c r="D446" t="s">
        <v>587</v>
      </c>
      <c r="E446" s="179"/>
      <c r="F446" s="179"/>
      <c r="G446" s="179">
        <v>-6260</v>
      </c>
      <c r="H446" s="179"/>
      <c r="I446" s="179"/>
      <c r="J446" s="191">
        <v>0</v>
      </c>
      <c r="K446" s="191">
        <v>0</v>
      </c>
      <c r="L446" s="185" t="s">
        <v>315</v>
      </c>
      <c r="N446" s="192" t="s">
        <v>121</v>
      </c>
      <c r="O446" t="s">
        <v>320</v>
      </c>
      <c r="P446" t="s">
        <v>317</v>
      </c>
    </row>
    <row r="447" spans="2:16" ht="16.5" hidden="1" customHeight="1">
      <c r="B447" t="str">
        <f t="shared" si="20"/>
        <v>211013</v>
      </c>
      <c r="C447" s="179">
        <v>211013101723</v>
      </c>
      <c r="D447" t="s">
        <v>588</v>
      </c>
      <c r="E447" s="179"/>
      <c r="F447" s="179"/>
      <c r="G447" s="179">
        <v>0</v>
      </c>
      <c r="H447" s="179"/>
      <c r="I447" s="179"/>
      <c r="J447" s="191">
        <v>0</v>
      </c>
      <c r="K447" s="191">
        <v>-837.1</v>
      </c>
      <c r="L447" s="185" t="s">
        <v>315</v>
      </c>
      <c r="N447" s="192" t="s">
        <v>121</v>
      </c>
      <c r="O447" t="s">
        <v>320</v>
      </c>
      <c r="P447" t="s">
        <v>317</v>
      </c>
    </row>
    <row r="448" spans="2:16" ht="16.5" hidden="1" customHeight="1">
      <c r="B448" t="str">
        <f t="shared" si="20"/>
        <v>211013</v>
      </c>
      <c r="C448" s="179">
        <v>211013101725</v>
      </c>
      <c r="D448" t="s">
        <v>589</v>
      </c>
      <c r="E448" s="179"/>
      <c r="F448" s="179"/>
      <c r="G448" s="179">
        <v>0</v>
      </c>
      <c r="H448" s="179"/>
      <c r="I448" s="179"/>
      <c r="J448" s="191">
        <v>0</v>
      </c>
      <c r="K448" s="191">
        <v>0</v>
      </c>
      <c r="L448" s="185" t="s">
        <v>315</v>
      </c>
      <c r="N448" s="192" t="s">
        <v>121</v>
      </c>
      <c r="O448" t="s">
        <v>320</v>
      </c>
      <c r="P448" t="s">
        <v>317</v>
      </c>
    </row>
    <row r="449" spans="2:16" ht="16.5" hidden="1" customHeight="1">
      <c r="B449" t="str">
        <f t="shared" si="20"/>
        <v>211013</v>
      </c>
      <c r="C449" s="179">
        <v>211013101726</v>
      </c>
      <c r="D449" t="s">
        <v>590</v>
      </c>
      <c r="E449" s="179"/>
      <c r="F449" s="179"/>
      <c r="G449" s="179">
        <v>-2538</v>
      </c>
      <c r="H449" s="179"/>
      <c r="I449" s="179"/>
      <c r="J449" s="191">
        <v>-1408</v>
      </c>
      <c r="K449" s="191">
        <v>-230</v>
      </c>
      <c r="L449" s="185" t="s">
        <v>315</v>
      </c>
      <c r="N449" s="192" t="s">
        <v>121</v>
      </c>
      <c r="O449" t="s">
        <v>320</v>
      </c>
      <c r="P449" t="s">
        <v>317</v>
      </c>
    </row>
    <row r="450" spans="2:16" ht="16.5" hidden="1" customHeight="1">
      <c r="B450" t="str">
        <f t="shared" si="20"/>
        <v>211013</v>
      </c>
      <c r="C450" s="179">
        <v>211013101727</v>
      </c>
      <c r="D450" t="s">
        <v>591</v>
      </c>
      <c r="E450" s="179"/>
      <c r="F450" s="179"/>
      <c r="G450" s="179">
        <v>0</v>
      </c>
      <c r="H450" s="179"/>
      <c r="I450" s="179"/>
      <c r="J450" s="191">
        <v>0</v>
      </c>
      <c r="K450" s="191">
        <v>0</v>
      </c>
      <c r="L450" s="185" t="s">
        <v>315</v>
      </c>
      <c r="N450" s="192" t="s">
        <v>121</v>
      </c>
      <c r="O450" t="s">
        <v>320</v>
      </c>
      <c r="P450" t="s">
        <v>317</v>
      </c>
    </row>
    <row r="451" spans="2:16" ht="16.5" hidden="1" customHeight="1">
      <c r="B451" t="str">
        <f t="shared" si="20"/>
        <v>211013</v>
      </c>
      <c r="C451" s="179">
        <v>211013101728</v>
      </c>
      <c r="D451" t="s">
        <v>592</v>
      </c>
      <c r="E451" s="179"/>
      <c r="F451" s="179"/>
      <c r="G451" s="179">
        <v>-162451.74</v>
      </c>
      <c r="H451" s="179"/>
      <c r="I451" s="179"/>
      <c r="J451" s="191">
        <v>0</v>
      </c>
      <c r="K451" s="191">
        <v>-339189.58</v>
      </c>
      <c r="L451" s="185" t="s">
        <v>315</v>
      </c>
      <c r="N451" s="192" t="s">
        <v>121</v>
      </c>
      <c r="O451" t="s">
        <v>320</v>
      </c>
      <c r="P451" t="s">
        <v>317</v>
      </c>
    </row>
    <row r="452" spans="2:16" ht="16.5" hidden="1" customHeight="1">
      <c r="B452" t="str">
        <f t="shared" si="20"/>
        <v>211013</v>
      </c>
      <c r="C452" s="179">
        <v>211013101729</v>
      </c>
      <c r="D452" t="s">
        <v>593</v>
      </c>
      <c r="E452" s="179"/>
      <c r="F452" s="179"/>
      <c r="G452" s="179">
        <v>0</v>
      </c>
      <c r="H452" s="179"/>
      <c r="I452" s="179"/>
      <c r="J452" s="191">
        <v>0</v>
      </c>
      <c r="K452" s="191">
        <v>0</v>
      </c>
      <c r="L452" s="185" t="s">
        <v>315</v>
      </c>
      <c r="N452" s="192" t="s">
        <v>121</v>
      </c>
      <c r="O452" t="s">
        <v>320</v>
      </c>
      <c r="P452" t="s">
        <v>317</v>
      </c>
    </row>
    <row r="453" spans="2:16" ht="16.5" hidden="1" customHeight="1">
      <c r="B453" t="str">
        <f t="shared" si="20"/>
        <v>211013</v>
      </c>
      <c r="C453" s="179">
        <v>211013101730</v>
      </c>
      <c r="D453" t="s">
        <v>594</v>
      </c>
      <c r="E453" s="179"/>
      <c r="F453" s="179"/>
      <c r="G453" s="179">
        <v>0</v>
      </c>
      <c r="H453" s="179"/>
      <c r="I453" s="179"/>
      <c r="J453" s="191">
        <v>0</v>
      </c>
      <c r="K453" s="191">
        <v>0</v>
      </c>
      <c r="L453" s="185" t="s">
        <v>315</v>
      </c>
      <c r="N453" s="192" t="s">
        <v>121</v>
      </c>
      <c r="O453" t="s">
        <v>320</v>
      </c>
      <c r="P453" t="s">
        <v>317</v>
      </c>
    </row>
    <row r="454" spans="2:16" ht="16.5" hidden="1" customHeight="1">
      <c r="B454" t="str">
        <f t="shared" si="20"/>
        <v>211013</v>
      </c>
      <c r="C454" s="179">
        <v>211013101732</v>
      </c>
      <c r="D454" t="s">
        <v>595</v>
      </c>
      <c r="E454" s="179"/>
      <c r="F454" s="179"/>
      <c r="G454" s="179">
        <v>-1972</v>
      </c>
      <c r="H454" s="179"/>
      <c r="I454" s="179"/>
      <c r="J454" s="191">
        <v>-378032.95</v>
      </c>
      <c r="K454" s="191">
        <v>0</v>
      </c>
      <c r="L454" s="185" t="s">
        <v>315</v>
      </c>
      <c r="N454" s="192" t="s">
        <v>121</v>
      </c>
      <c r="O454" t="s">
        <v>320</v>
      </c>
      <c r="P454" t="s">
        <v>317</v>
      </c>
    </row>
    <row r="455" spans="2:16" ht="16.5" hidden="1" customHeight="1">
      <c r="B455" t="str">
        <f t="shared" si="20"/>
        <v>211013</v>
      </c>
      <c r="C455" s="179">
        <v>211013101733</v>
      </c>
      <c r="D455" t="s">
        <v>596</v>
      </c>
      <c r="E455" s="179"/>
      <c r="F455" s="179"/>
      <c r="G455" s="179">
        <v>0</v>
      </c>
      <c r="H455" s="179"/>
      <c r="I455" s="179"/>
      <c r="J455" s="191">
        <v>0</v>
      </c>
      <c r="K455" s="191">
        <v>0</v>
      </c>
      <c r="L455" s="185" t="s">
        <v>315</v>
      </c>
      <c r="N455" s="192" t="s">
        <v>121</v>
      </c>
      <c r="O455" t="s">
        <v>320</v>
      </c>
      <c r="P455" t="s">
        <v>317</v>
      </c>
    </row>
    <row r="456" spans="2:16" ht="16.5" hidden="1" customHeight="1">
      <c r="B456" t="str">
        <f t="shared" si="20"/>
        <v>211013</v>
      </c>
      <c r="C456" s="179">
        <v>211013101734</v>
      </c>
      <c r="D456" t="s">
        <v>597</v>
      </c>
      <c r="E456" s="179"/>
      <c r="F456" s="179"/>
      <c r="G456" s="179">
        <v>-250</v>
      </c>
      <c r="H456" s="179"/>
      <c r="I456" s="179"/>
      <c r="J456" s="191">
        <v>-15</v>
      </c>
      <c r="K456" s="191">
        <v>0</v>
      </c>
      <c r="L456" s="185" t="s">
        <v>315</v>
      </c>
      <c r="N456" s="192" t="s">
        <v>121</v>
      </c>
      <c r="O456" t="s">
        <v>320</v>
      </c>
      <c r="P456" t="s">
        <v>317</v>
      </c>
    </row>
    <row r="457" spans="2:16" ht="16.5" hidden="1" customHeight="1">
      <c r="B457" t="str">
        <f t="shared" si="20"/>
        <v>211013</v>
      </c>
      <c r="C457" s="179">
        <v>211013101735</v>
      </c>
      <c r="D457" t="s">
        <v>598</v>
      </c>
      <c r="E457" s="179"/>
      <c r="F457" s="179"/>
      <c r="G457" s="179">
        <v>0</v>
      </c>
      <c r="H457" s="179"/>
      <c r="I457" s="179"/>
      <c r="J457" s="191">
        <v>0</v>
      </c>
      <c r="K457" s="191">
        <v>0</v>
      </c>
      <c r="L457" s="185" t="s">
        <v>315</v>
      </c>
      <c r="N457" s="192" t="s">
        <v>121</v>
      </c>
      <c r="O457" t="s">
        <v>320</v>
      </c>
      <c r="P457" t="s">
        <v>317</v>
      </c>
    </row>
    <row r="458" spans="2:16" ht="16.5" hidden="1" customHeight="1">
      <c r="B458" t="str">
        <f t="shared" si="20"/>
        <v>211013</v>
      </c>
      <c r="C458" s="179">
        <v>211013101737</v>
      </c>
      <c r="D458" t="s">
        <v>599</v>
      </c>
      <c r="E458" s="179"/>
      <c r="F458" s="179"/>
      <c r="G458" s="179">
        <v>-1260</v>
      </c>
      <c r="H458" s="179"/>
      <c r="I458" s="179"/>
      <c r="J458" s="191">
        <v>0</v>
      </c>
      <c r="K458" s="191">
        <v>0</v>
      </c>
      <c r="L458" s="185" t="s">
        <v>315</v>
      </c>
      <c r="N458" s="192" t="s">
        <v>121</v>
      </c>
      <c r="O458" t="s">
        <v>320</v>
      </c>
      <c r="P458" t="s">
        <v>317</v>
      </c>
    </row>
    <row r="459" spans="2:16" ht="16.5" hidden="1" customHeight="1">
      <c r="B459" t="str">
        <f t="shared" si="20"/>
        <v>211013</v>
      </c>
      <c r="C459" s="179">
        <v>211013101738</v>
      </c>
      <c r="D459" t="s">
        <v>600</v>
      </c>
      <c r="E459" s="179"/>
      <c r="F459" s="179"/>
      <c r="G459" s="179">
        <v>0</v>
      </c>
      <c r="H459" s="179"/>
      <c r="I459" s="179"/>
      <c r="J459" s="191">
        <v>0</v>
      </c>
      <c r="K459" s="191">
        <v>0</v>
      </c>
      <c r="L459" s="185" t="s">
        <v>315</v>
      </c>
      <c r="N459" s="192" t="s">
        <v>121</v>
      </c>
      <c r="O459" t="s">
        <v>320</v>
      </c>
      <c r="P459" t="s">
        <v>317</v>
      </c>
    </row>
    <row r="460" spans="2:16" ht="16.5" hidden="1" customHeight="1">
      <c r="B460" t="str">
        <f t="shared" si="20"/>
        <v>211013</v>
      </c>
      <c r="C460" s="179">
        <v>211013101739</v>
      </c>
      <c r="D460" t="s">
        <v>601</v>
      </c>
      <c r="E460" s="179"/>
      <c r="F460" s="179"/>
      <c r="G460" s="179">
        <v>-700</v>
      </c>
      <c r="H460" s="179"/>
      <c r="I460" s="179"/>
      <c r="J460" s="191">
        <v>0</v>
      </c>
      <c r="K460" s="191">
        <v>0</v>
      </c>
      <c r="L460" s="185" t="s">
        <v>315</v>
      </c>
      <c r="N460" s="192" t="s">
        <v>121</v>
      </c>
      <c r="O460" t="s">
        <v>320</v>
      </c>
      <c r="P460" t="s">
        <v>317</v>
      </c>
    </row>
    <row r="461" spans="2:16" ht="16.5" hidden="1" customHeight="1">
      <c r="B461" t="str">
        <f t="shared" si="20"/>
        <v>211013</v>
      </c>
      <c r="C461" s="179">
        <v>211013101740</v>
      </c>
      <c r="D461" t="s">
        <v>602</v>
      </c>
      <c r="E461" s="179"/>
      <c r="F461" s="179"/>
      <c r="G461" s="179">
        <v>-198.27</v>
      </c>
      <c r="H461" s="179"/>
      <c r="I461" s="179"/>
      <c r="J461" s="191">
        <v>0</v>
      </c>
      <c r="K461" s="191">
        <v>0</v>
      </c>
      <c r="L461" s="185" t="s">
        <v>315</v>
      </c>
      <c r="N461" s="192" t="s">
        <v>121</v>
      </c>
      <c r="O461" t="s">
        <v>320</v>
      </c>
      <c r="P461" t="s">
        <v>317</v>
      </c>
    </row>
    <row r="462" spans="2:16" ht="16.5" hidden="1" customHeight="1">
      <c r="B462" t="str">
        <f t="shared" si="20"/>
        <v>211013</v>
      </c>
      <c r="C462" s="179">
        <v>211013101743</v>
      </c>
      <c r="D462" t="s">
        <v>603</v>
      </c>
      <c r="E462" s="179"/>
      <c r="F462" s="179"/>
      <c r="G462" s="179">
        <v>1039798.79</v>
      </c>
      <c r="H462" s="179"/>
      <c r="I462" s="179"/>
      <c r="J462" s="191">
        <v>0</v>
      </c>
      <c r="K462" s="191">
        <v>0</v>
      </c>
      <c r="L462" s="185" t="s">
        <v>315</v>
      </c>
      <c r="N462" s="192" t="s">
        <v>121</v>
      </c>
      <c r="O462" t="s">
        <v>320</v>
      </c>
      <c r="P462" t="s">
        <v>317</v>
      </c>
    </row>
    <row r="463" spans="2:16" ht="16.5" hidden="1" customHeight="1">
      <c r="B463" t="str">
        <f t="shared" si="20"/>
        <v>211013</v>
      </c>
      <c r="C463" s="179">
        <v>211013101744</v>
      </c>
      <c r="D463" t="s">
        <v>604</v>
      </c>
      <c r="E463" s="179"/>
      <c r="F463" s="179"/>
      <c r="G463" s="179">
        <v>-7997549.4800000004</v>
      </c>
      <c r="H463" s="179"/>
      <c r="I463" s="179"/>
      <c r="J463" s="191">
        <v>0</v>
      </c>
      <c r="K463" s="191">
        <v>-8967924.4499999993</v>
      </c>
      <c r="L463" s="185" t="s">
        <v>315</v>
      </c>
      <c r="N463" s="192" t="s">
        <v>121</v>
      </c>
      <c r="O463" t="s">
        <v>320</v>
      </c>
      <c r="P463" t="s">
        <v>483</v>
      </c>
    </row>
    <row r="464" spans="2:16" ht="16.5" hidden="1" customHeight="1">
      <c r="B464" t="s">
        <v>605</v>
      </c>
      <c r="C464" s="179">
        <v>211013101747</v>
      </c>
      <c r="D464" t="s">
        <v>606</v>
      </c>
      <c r="E464" s="179"/>
      <c r="F464" s="179"/>
      <c r="J464" s="191">
        <v>0</v>
      </c>
      <c r="K464" s="191">
        <v>-374.3</v>
      </c>
      <c r="L464" s="185" t="s">
        <v>315</v>
      </c>
      <c r="N464" s="192" t="s">
        <v>121</v>
      </c>
      <c r="O464" t="s">
        <v>320</v>
      </c>
    </row>
    <row r="465" spans="2:15" ht="16.5" hidden="1" customHeight="1">
      <c r="B465" t="s">
        <v>605</v>
      </c>
      <c r="C465" s="179">
        <v>211013101999</v>
      </c>
      <c r="D465" t="s">
        <v>607</v>
      </c>
      <c r="E465" s="179"/>
      <c r="F465" s="179"/>
      <c r="J465" s="191">
        <v>0</v>
      </c>
      <c r="K465" s="191">
        <v>-300.91000000000003</v>
      </c>
      <c r="L465" s="185" t="s">
        <v>315</v>
      </c>
      <c r="N465" s="192" t="s">
        <v>121</v>
      </c>
      <c r="O465" t="s">
        <v>320</v>
      </c>
    </row>
    <row r="466" spans="2:15" ht="16.5" hidden="1" customHeight="1">
      <c r="B466" t="s">
        <v>605</v>
      </c>
      <c r="C466" s="179">
        <v>211013201001</v>
      </c>
      <c r="D466" t="s">
        <v>486</v>
      </c>
      <c r="E466" s="179"/>
      <c r="F466" s="179"/>
      <c r="J466" s="191">
        <v>-9167047.7100000009</v>
      </c>
      <c r="K466" s="191">
        <v>-0.01</v>
      </c>
      <c r="L466" s="185" t="s">
        <v>315</v>
      </c>
      <c r="N466" s="192" t="s">
        <v>121</v>
      </c>
      <c r="O466" t="s">
        <v>320</v>
      </c>
    </row>
    <row r="467" spans="2:15" ht="16.5" hidden="1" customHeight="1">
      <c r="B467" t="s">
        <v>605</v>
      </c>
      <c r="C467" s="179">
        <v>211013101199</v>
      </c>
      <c r="D467" t="s">
        <v>608</v>
      </c>
      <c r="E467" s="179"/>
      <c r="F467" s="179"/>
      <c r="J467" s="191">
        <v>0</v>
      </c>
      <c r="K467" s="191">
        <v>-1823.97</v>
      </c>
      <c r="L467" s="185" t="s">
        <v>315</v>
      </c>
      <c r="N467" s="192" t="s">
        <v>121</v>
      </c>
      <c r="O467" t="s">
        <v>320</v>
      </c>
    </row>
    <row r="468" spans="2:15" ht="16.5" hidden="1" customHeight="1">
      <c r="B468" t="s">
        <v>605</v>
      </c>
      <c r="C468" s="179">
        <v>211013101222</v>
      </c>
      <c r="D468" t="s">
        <v>609</v>
      </c>
      <c r="E468" s="179"/>
      <c r="F468" s="179"/>
      <c r="J468" s="191">
        <v>0</v>
      </c>
      <c r="K468" s="191">
        <v>-207</v>
      </c>
      <c r="L468" s="185" t="s">
        <v>315</v>
      </c>
      <c r="N468" s="192" t="s">
        <v>121</v>
      </c>
      <c r="O468" t="s">
        <v>320</v>
      </c>
    </row>
    <row r="469" spans="2:15" ht="16.5" hidden="1" customHeight="1">
      <c r="B469" t="s">
        <v>605</v>
      </c>
      <c r="C469" s="179">
        <v>211013101237</v>
      </c>
      <c r="D469" t="s">
        <v>610</v>
      </c>
      <c r="E469" s="179"/>
      <c r="F469" s="179"/>
      <c r="J469" s="191">
        <v>0</v>
      </c>
      <c r="K469" s="191">
        <v>-1551</v>
      </c>
      <c r="L469" s="185" t="s">
        <v>315</v>
      </c>
      <c r="N469" s="192" t="s">
        <v>121</v>
      </c>
      <c r="O469" t="s">
        <v>320</v>
      </c>
    </row>
    <row r="470" spans="2:15" ht="16.5" hidden="1" customHeight="1">
      <c r="B470" t="s">
        <v>605</v>
      </c>
      <c r="C470" s="179">
        <v>211013101493</v>
      </c>
      <c r="D470" t="s">
        <v>611</v>
      </c>
      <c r="E470" s="179"/>
      <c r="F470" s="179"/>
      <c r="J470" s="191">
        <v>0</v>
      </c>
      <c r="K470" s="191">
        <v>-1870.99</v>
      </c>
      <c r="L470" s="185" t="s">
        <v>315</v>
      </c>
      <c r="N470" s="192" t="s">
        <v>121</v>
      </c>
      <c r="O470" t="s">
        <v>320</v>
      </c>
    </row>
    <row r="471" spans="2:15" ht="16.5" hidden="1" customHeight="1">
      <c r="B471" t="s">
        <v>605</v>
      </c>
      <c r="C471" s="179">
        <v>211013101529</v>
      </c>
      <c r="D471" t="s">
        <v>612</v>
      </c>
      <c r="E471" s="179"/>
      <c r="F471" s="179"/>
      <c r="J471" s="191">
        <v>0</v>
      </c>
      <c r="K471" s="191">
        <v>-93.5</v>
      </c>
      <c r="L471" s="185" t="s">
        <v>315</v>
      </c>
      <c r="N471" s="192" t="s">
        <v>121</v>
      </c>
      <c r="O471" t="s">
        <v>320</v>
      </c>
    </row>
    <row r="472" spans="2:15" ht="16.5" hidden="1" customHeight="1">
      <c r="B472" t="s">
        <v>605</v>
      </c>
      <c r="C472" s="179">
        <v>211013101540</v>
      </c>
      <c r="D472" t="s">
        <v>613</v>
      </c>
      <c r="E472" s="179"/>
      <c r="F472" s="179"/>
      <c r="J472" s="191">
        <v>0</v>
      </c>
      <c r="K472" s="191">
        <v>-3486</v>
      </c>
      <c r="L472" s="185" t="s">
        <v>315</v>
      </c>
      <c r="N472" s="192" t="s">
        <v>121</v>
      </c>
      <c r="O472" t="s">
        <v>320</v>
      </c>
    </row>
    <row r="473" spans="2:15" ht="16.5" hidden="1" customHeight="1">
      <c r="B473" t="s">
        <v>605</v>
      </c>
      <c r="C473" s="179">
        <v>211013101561</v>
      </c>
      <c r="D473" t="s">
        <v>614</v>
      </c>
      <c r="E473" s="179"/>
      <c r="F473" s="179"/>
      <c r="J473" s="191">
        <v>-1751.22</v>
      </c>
      <c r="K473" s="191">
        <v>-536.79999999999995</v>
      </c>
      <c r="L473" s="185" t="s">
        <v>315</v>
      </c>
      <c r="N473" s="192" t="s">
        <v>121</v>
      </c>
      <c r="O473" t="s">
        <v>320</v>
      </c>
    </row>
    <row r="474" spans="2:15" ht="16.5" hidden="1" customHeight="1">
      <c r="B474" t="s">
        <v>605</v>
      </c>
      <c r="C474" s="179">
        <v>211013101570</v>
      </c>
      <c r="D474" t="s">
        <v>615</v>
      </c>
      <c r="E474" s="179"/>
      <c r="F474" s="179"/>
      <c r="J474" s="191">
        <v>0</v>
      </c>
      <c r="K474" s="191">
        <v>-1009.5</v>
      </c>
      <c r="L474" s="185" t="s">
        <v>315</v>
      </c>
      <c r="N474" s="192" t="s">
        <v>121</v>
      </c>
      <c r="O474" t="s">
        <v>320</v>
      </c>
    </row>
    <row r="475" spans="2:15" ht="16.5" hidden="1" customHeight="1">
      <c r="B475" t="s">
        <v>605</v>
      </c>
      <c r="C475" s="179">
        <v>211013101597</v>
      </c>
      <c r="D475" t="s">
        <v>616</v>
      </c>
      <c r="E475" s="179"/>
      <c r="F475" s="179"/>
      <c r="J475" s="191">
        <v>-3486</v>
      </c>
      <c r="K475" s="191">
        <v>-2630.09</v>
      </c>
      <c r="L475" s="185" t="s">
        <v>315</v>
      </c>
      <c r="N475" s="192" t="s">
        <v>121</v>
      </c>
      <c r="O475" t="s">
        <v>320</v>
      </c>
    </row>
    <row r="476" spans="2:15" ht="16.5" hidden="1" customHeight="1">
      <c r="B476" t="s">
        <v>605</v>
      </c>
      <c r="C476" s="179">
        <v>211013101706</v>
      </c>
      <c r="D476" t="s">
        <v>617</v>
      </c>
      <c r="E476" s="179"/>
      <c r="F476" s="179"/>
      <c r="J476" s="191">
        <v>0</v>
      </c>
      <c r="K476" s="191">
        <v>-1205</v>
      </c>
      <c r="L476" s="185" t="s">
        <v>315</v>
      </c>
      <c r="N476" s="192" t="s">
        <v>121</v>
      </c>
      <c r="O476" t="s">
        <v>320</v>
      </c>
    </row>
    <row r="477" spans="2:15" ht="16.5" hidden="1" customHeight="1">
      <c r="B477" t="s">
        <v>605</v>
      </c>
      <c r="C477" s="179">
        <v>211013101742</v>
      </c>
      <c r="D477" t="s">
        <v>618</v>
      </c>
      <c r="E477" s="179"/>
      <c r="F477" s="179"/>
      <c r="J477" s="191">
        <v>-336.5</v>
      </c>
      <c r="K477" s="191">
        <v>-1070</v>
      </c>
      <c r="L477" s="185" t="s">
        <v>315</v>
      </c>
      <c r="N477" s="192" t="s">
        <v>121</v>
      </c>
      <c r="O477" t="s">
        <v>320</v>
      </c>
    </row>
    <row r="478" spans="2:15" ht="16.5" hidden="1" customHeight="1">
      <c r="B478" t="s">
        <v>605</v>
      </c>
      <c r="C478" s="179">
        <v>211013101761</v>
      </c>
      <c r="D478" t="s">
        <v>619</v>
      </c>
      <c r="E478" s="179"/>
      <c r="F478" s="179"/>
      <c r="J478" s="191">
        <v>-3277.24</v>
      </c>
      <c r="K478" s="191">
        <v>-2000</v>
      </c>
      <c r="L478" s="185" t="s">
        <v>315</v>
      </c>
      <c r="N478" s="192" t="s">
        <v>121</v>
      </c>
      <c r="O478" t="s">
        <v>320</v>
      </c>
    </row>
    <row r="479" spans="2:15" ht="16.5" hidden="1" customHeight="1">
      <c r="B479" t="s">
        <v>605</v>
      </c>
      <c r="C479" s="179">
        <v>211013101765</v>
      </c>
      <c r="D479" t="s">
        <v>620</v>
      </c>
      <c r="E479" s="179"/>
      <c r="F479" s="179"/>
      <c r="J479" s="191">
        <v>0</v>
      </c>
      <c r="K479" s="191">
        <v>-2940</v>
      </c>
      <c r="L479" s="185" t="s">
        <v>315</v>
      </c>
      <c r="N479" s="192" t="s">
        <v>121</v>
      </c>
      <c r="O479" t="s">
        <v>320</v>
      </c>
    </row>
    <row r="480" spans="2:15" ht="16.5" hidden="1" customHeight="1">
      <c r="B480" t="s">
        <v>605</v>
      </c>
      <c r="C480" s="179">
        <v>211013101769</v>
      </c>
      <c r="D480" t="s">
        <v>621</v>
      </c>
      <c r="E480" s="179"/>
      <c r="F480" s="179"/>
      <c r="J480" s="191">
        <v>0</v>
      </c>
      <c r="K480" s="191">
        <v>-473.5</v>
      </c>
      <c r="L480" s="185" t="s">
        <v>315</v>
      </c>
      <c r="N480" s="192" t="s">
        <v>121</v>
      </c>
      <c r="O480" t="s">
        <v>320</v>
      </c>
    </row>
    <row r="481" spans="2:17" ht="16.5" hidden="1" customHeight="1">
      <c r="B481" t="s">
        <v>605</v>
      </c>
      <c r="C481" s="179">
        <v>211013101770</v>
      </c>
      <c r="D481" t="s">
        <v>622</v>
      </c>
      <c r="E481" s="179"/>
      <c r="F481" s="179"/>
      <c r="J481" s="191">
        <v>-2000</v>
      </c>
      <c r="K481" s="191">
        <v>-668.16</v>
      </c>
      <c r="L481" s="185" t="s">
        <v>315</v>
      </c>
      <c r="N481" s="192" t="s">
        <v>121</v>
      </c>
      <c r="O481" t="s">
        <v>320</v>
      </c>
    </row>
    <row r="482" spans="2:17" ht="16.5" hidden="1" customHeight="1">
      <c r="B482" t="s">
        <v>605</v>
      </c>
      <c r="C482" s="179">
        <v>211013101771</v>
      </c>
      <c r="D482" t="s">
        <v>623</v>
      </c>
      <c r="E482" s="179"/>
      <c r="F482" s="179"/>
      <c r="J482" s="191">
        <v>-2940</v>
      </c>
      <c r="K482" s="191">
        <v>-104682.39</v>
      </c>
      <c r="L482" s="185" t="s">
        <v>315</v>
      </c>
      <c r="N482" s="192" t="s">
        <v>121</v>
      </c>
      <c r="O482" t="s">
        <v>320</v>
      </c>
    </row>
    <row r="483" spans="2:17" ht="16.5" hidden="1" customHeight="1">
      <c r="B483" t="s">
        <v>605</v>
      </c>
      <c r="C483" s="179">
        <v>211013101774</v>
      </c>
      <c r="D483" t="s">
        <v>624</v>
      </c>
      <c r="E483" s="179"/>
      <c r="F483" s="179"/>
      <c r="J483" s="191">
        <v>-274.3</v>
      </c>
      <c r="K483" s="191">
        <v>-504.4</v>
      </c>
      <c r="L483" s="185" t="s">
        <v>315</v>
      </c>
      <c r="N483" s="192" t="s">
        <v>121</v>
      </c>
      <c r="O483" t="s">
        <v>320</v>
      </c>
    </row>
    <row r="484" spans="2:17" ht="16.5" hidden="1" customHeight="1">
      <c r="B484" t="s">
        <v>605</v>
      </c>
      <c r="C484" s="179">
        <v>211013101777</v>
      </c>
      <c r="D484" t="s">
        <v>625</v>
      </c>
      <c r="E484" s="179"/>
      <c r="F484" s="179"/>
      <c r="J484" s="191">
        <v>-670.7</v>
      </c>
      <c r="K484" s="191">
        <v>-763.38</v>
      </c>
      <c r="L484" s="185" t="s">
        <v>315</v>
      </c>
      <c r="N484" s="192" t="s">
        <v>121</v>
      </c>
      <c r="O484" t="s">
        <v>320</v>
      </c>
    </row>
    <row r="485" spans="2:17" ht="16.5" hidden="1" customHeight="1">
      <c r="B485" t="s">
        <v>605</v>
      </c>
      <c r="C485" s="179">
        <v>211013101786</v>
      </c>
      <c r="D485" t="s">
        <v>626</v>
      </c>
      <c r="E485" s="179"/>
      <c r="F485" s="179"/>
      <c r="J485" s="191">
        <v>-7412.12</v>
      </c>
      <c r="K485" s="191">
        <v>-378</v>
      </c>
      <c r="L485" s="185" t="s">
        <v>315</v>
      </c>
      <c r="N485" s="192" t="s">
        <v>121</v>
      </c>
      <c r="O485" t="s">
        <v>320</v>
      </c>
    </row>
    <row r="486" spans="2:17" ht="16.5" hidden="1" customHeight="1">
      <c r="B486" t="s">
        <v>605</v>
      </c>
      <c r="C486" s="179">
        <v>211013101788</v>
      </c>
      <c r="D486" t="s">
        <v>627</v>
      </c>
      <c r="E486" s="179"/>
      <c r="F486" s="179"/>
      <c r="J486" s="191">
        <v>0</v>
      </c>
      <c r="K486" s="191">
        <v>-477.56</v>
      </c>
      <c r="L486" s="185" t="s">
        <v>315</v>
      </c>
      <c r="N486" s="192" t="s">
        <v>121</v>
      </c>
      <c r="O486" t="s">
        <v>320</v>
      </c>
    </row>
    <row r="487" spans="2:17" ht="16.5" hidden="1" customHeight="1">
      <c r="B487" t="s">
        <v>605</v>
      </c>
      <c r="C487" s="179">
        <v>211013101792</v>
      </c>
      <c r="D487" t="s">
        <v>628</v>
      </c>
      <c r="E487" s="179"/>
      <c r="F487" s="179"/>
      <c r="J487" s="191">
        <v>0</v>
      </c>
      <c r="K487" s="191">
        <v>-1355</v>
      </c>
      <c r="L487" s="185" t="s">
        <v>315</v>
      </c>
      <c r="N487" s="192" t="s">
        <v>121</v>
      </c>
      <c r="O487" t="s">
        <v>320</v>
      </c>
    </row>
    <row r="488" spans="2:17" ht="16.5" hidden="1" customHeight="1">
      <c r="B488" t="s">
        <v>605</v>
      </c>
      <c r="C488" s="179">
        <v>211013101800</v>
      </c>
      <c r="D488" t="s">
        <v>629</v>
      </c>
      <c r="E488" s="179"/>
      <c r="F488" s="179"/>
      <c r="J488" s="191">
        <v>0</v>
      </c>
      <c r="K488" s="191">
        <v>-20871.7</v>
      </c>
      <c r="L488" s="185" t="s">
        <v>315</v>
      </c>
      <c r="N488" s="192" t="s">
        <v>121</v>
      </c>
      <c r="O488" t="s">
        <v>320</v>
      </c>
    </row>
    <row r="489" spans="2:17" ht="16.5" hidden="1" customHeight="1">
      <c r="B489" t="s">
        <v>605</v>
      </c>
      <c r="C489" s="179">
        <v>211013101802</v>
      </c>
      <c r="D489" t="s">
        <v>630</v>
      </c>
      <c r="E489" s="179"/>
      <c r="F489" s="179"/>
      <c r="J489" s="191">
        <v>0</v>
      </c>
      <c r="K489" s="191">
        <v>-2498</v>
      </c>
      <c r="L489" s="185" t="s">
        <v>315</v>
      </c>
      <c r="N489" s="192" t="s">
        <v>121</v>
      </c>
      <c r="O489" t="s">
        <v>320</v>
      </c>
    </row>
    <row r="490" spans="2:17" ht="16.5" hidden="1" customHeight="1">
      <c r="B490" t="s">
        <v>605</v>
      </c>
      <c r="C490" s="179">
        <v>211013101808</v>
      </c>
      <c r="D490" t="s">
        <v>631</v>
      </c>
      <c r="E490" s="179"/>
      <c r="F490" s="179"/>
      <c r="J490" s="191">
        <v>-945</v>
      </c>
      <c r="K490" s="191">
        <v>-1431.2</v>
      </c>
      <c r="L490" s="185" t="s">
        <v>315</v>
      </c>
      <c r="N490" s="192" t="s">
        <v>121</v>
      </c>
      <c r="O490" t="s">
        <v>320</v>
      </c>
    </row>
    <row r="491" spans="2:17" ht="16.5" hidden="1" customHeight="1">
      <c r="B491" t="s">
        <v>605</v>
      </c>
      <c r="C491" s="179">
        <v>211013101810</v>
      </c>
      <c r="D491" t="s">
        <v>632</v>
      </c>
      <c r="E491" s="179"/>
      <c r="F491" s="179"/>
      <c r="J491" s="191">
        <v>-10435.84</v>
      </c>
      <c r="K491" s="191">
        <v>-762</v>
      </c>
      <c r="L491" s="185" t="s">
        <v>315</v>
      </c>
      <c r="N491" s="192" t="s">
        <v>121</v>
      </c>
      <c r="O491" t="s">
        <v>320</v>
      </c>
    </row>
    <row r="492" spans="2:17" ht="16.5" hidden="1" customHeight="1">
      <c r="B492" t="s">
        <v>605</v>
      </c>
      <c r="C492" s="179">
        <v>211013101813</v>
      </c>
      <c r="D492" t="s">
        <v>633</v>
      </c>
      <c r="E492" s="179"/>
      <c r="F492" s="179"/>
      <c r="J492" s="191">
        <v>0</v>
      </c>
      <c r="K492" s="191">
        <v>-34957.85</v>
      </c>
      <c r="L492" s="185" t="s">
        <v>315</v>
      </c>
      <c r="N492" s="192" t="s">
        <v>121</v>
      </c>
      <c r="O492" t="s">
        <v>320</v>
      </c>
    </row>
    <row r="493" spans="2:17" ht="16.5" hidden="1" customHeight="1">
      <c r="B493" t="str">
        <f t="shared" ref="B493:B524" si="21">LEFT(C493,6)</f>
        <v>211013</v>
      </c>
      <c r="C493" s="179">
        <v>211013101815</v>
      </c>
      <c r="D493" t="s">
        <v>634</v>
      </c>
      <c r="E493" s="179"/>
      <c r="F493" s="179"/>
      <c r="G493" s="179">
        <v>-160</v>
      </c>
      <c r="H493" s="179"/>
      <c r="I493" s="179"/>
      <c r="J493" s="191">
        <v>0</v>
      </c>
      <c r="K493" s="191">
        <v>-239.84</v>
      </c>
      <c r="L493" s="185" t="s">
        <v>635</v>
      </c>
      <c r="N493" s="192" t="s">
        <v>121</v>
      </c>
      <c r="O493" t="s">
        <v>320</v>
      </c>
    </row>
    <row r="494" spans="2:17" ht="16.5" hidden="1" customHeight="1">
      <c r="B494" t="str">
        <f t="shared" si="21"/>
        <v>211013</v>
      </c>
      <c r="C494" s="179">
        <v>211013101817</v>
      </c>
      <c r="D494" t="s">
        <v>636</v>
      </c>
      <c r="E494" s="179"/>
      <c r="F494" s="179"/>
      <c r="G494" s="179">
        <v>0</v>
      </c>
      <c r="H494" s="179"/>
      <c r="I494" s="179"/>
      <c r="J494" s="191">
        <v>0</v>
      </c>
      <c r="K494" s="191">
        <v>0</v>
      </c>
      <c r="L494" s="185" t="s">
        <v>635</v>
      </c>
      <c r="N494" s="192" t="s">
        <v>121</v>
      </c>
      <c r="O494" t="s">
        <v>320</v>
      </c>
    </row>
    <row r="495" spans="2:17" ht="16.5" hidden="1" customHeight="1">
      <c r="B495" t="str">
        <f t="shared" si="21"/>
        <v>211013</v>
      </c>
      <c r="C495" s="179">
        <v>211013101818</v>
      </c>
      <c r="D495" t="s">
        <v>637</v>
      </c>
      <c r="E495" s="179"/>
      <c r="F495" s="179"/>
      <c r="G495" s="179">
        <v>0</v>
      </c>
      <c r="H495" s="179"/>
      <c r="I495" s="179"/>
      <c r="J495" s="191">
        <v>-34957.85</v>
      </c>
      <c r="K495" s="191">
        <v>0</v>
      </c>
      <c r="L495" s="185" t="s">
        <v>638</v>
      </c>
      <c r="N495" s="192" t="s">
        <v>121</v>
      </c>
      <c r="O495" t="s">
        <v>320</v>
      </c>
      <c r="P495" t="s">
        <v>639</v>
      </c>
      <c r="Q495" t="s">
        <v>640</v>
      </c>
    </row>
    <row r="496" spans="2:17" ht="16.5" hidden="1" customHeight="1">
      <c r="B496" t="str">
        <f t="shared" si="21"/>
        <v>211013</v>
      </c>
      <c r="C496" s="179">
        <v>211013101079</v>
      </c>
      <c r="D496" t="s">
        <v>641</v>
      </c>
      <c r="E496" s="179"/>
      <c r="F496" s="179"/>
      <c r="G496" s="179">
        <v>-650697.5</v>
      </c>
      <c r="H496" s="179"/>
      <c r="I496" s="179"/>
      <c r="J496" s="191">
        <v>-7.8</v>
      </c>
      <c r="K496" s="191">
        <v>-677139.62</v>
      </c>
      <c r="L496" s="185" t="s">
        <v>638</v>
      </c>
      <c r="N496" s="192" t="s">
        <v>121</v>
      </c>
      <c r="O496" t="s">
        <v>320</v>
      </c>
      <c r="P496" t="s">
        <v>642</v>
      </c>
      <c r="Q496" t="s">
        <v>640</v>
      </c>
    </row>
    <row r="497" spans="2:17" ht="16.5" hidden="1" customHeight="1">
      <c r="B497" t="str">
        <f t="shared" si="21"/>
        <v>211013</v>
      </c>
      <c r="C497" s="179">
        <v>211013101235</v>
      </c>
      <c r="D497" t="s">
        <v>643</v>
      </c>
      <c r="E497" s="179"/>
      <c r="F497" s="179"/>
      <c r="G497" s="179">
        <v>-1055326.42</v>
      </c>
      <c r="H497" s="179"/>
      <c r="I497" s="179"/>
      <c r="J497" s="191">
        <v>-260</v>
      </c>
      <c r="K497" s="191">
        <v>-1050757.42</v>
      </c>
      <c r="L497" s="185" t="s">
        <v>638</v>
      </c>
      <c r="N497" s="192" t="s">
        <v>121</v>
      </c>
      <c r="O497" t="s">
        <v>320</v>
      </c>
      <c r="P497" t="s">
        <v>644</v>
      </c>
      <c r="Q497" t="s">
        <v>640</v>
      </c>
    </row>
    <row r="498" spans="2:17" ht="16.5" hidden="1" customHeight="1">
      <c r="B498" t="str">
        <f t="shared" si="21"/>
        <v>211013</v>
      </c>
      <c r="C498" s="179">
        <v>211013101338</v>
      </c>
      <c r="D498" t="s">
        <v>645</v>
      </c>
      <c r="E498" s="179"/>
      <c r="F498" s="179"/>
      <c r="G498" s="179">
        <v>0</v>
      </c>
      <c r="H498" s="179"/>
      <c r="I498" s="179"/>
      <c r="J498" s="191">
        <v>-2633.5</v>
      </c>
      <c r="K498" s="191">
        <v>0</v>
      </c>
      <c r="L498" s="185" t="s">
        <v>638</v>
      </c>
      <c r="N498" s="192" t="s">
        <v>121</v>
      </c>
      <c r="O498" t="s">
        <v>320</v>
      </c>
      <c r="P498" t="s">
        <v>646</v>
      </c>
      <c r="Q498" t="s">
        <v>640</v>
      </c>
    </row>
    <row r="499" spans="2:17" ht="16.5" hidden="1" customHeight="1">
      <c r="B499" t="str">
        <f t="shared" si="21"/>
        <v>211013</v>
      </c>
      <c r="C499" s="179">
        <v>211013101720</v>
      </c>
      <c r="D499" t="s">
        <v>647</v>
      </c>
      <c r="E499" s="179"/>
      <c r="F499" s="179"/>
      <c r="G499" s="179">
        <v>-2383079.96</v>
      </c>
      <c r="H499" s="179"/>
      <c r="I499" s="179"/>
      <c r="J499" s="191">
        <v>-260</v>
      </c>
      <c r="K499" s="191">
        <v>-1393154.89</v>
      </c>
      <c r="L499" s="185" t="s">
        <v>638</v>
      </c>
      <c r="N499" s="192" t="s">
        <v>121</v>
      </c>
      <c r="O499" t="s">
        <v>320</v>
      </c>
      <c r="P499" t="s">
        <v>648</v>
      </c>
      <c r="Q499" t="s">
        <v>640</v>
      </c>
    </row>
    <row r="500" spans="2:17" ht="16.5" hidden="1" customHeight="1">
      <c r="B500" t="str">
        <f t="shared" si="21"/>
        <v>211013</v>
      </c>
      <c r="C500" s="179">
        <v>211013101753</v>
      </c>
      <c r="D500" t="s">
        <v>649</v>
      </c>
      <c r="E500" s="179"/>
      <c r="F500" s="179"/>
      <c r="G500" s="179">
        <v>-459407.14</v>
      </c>
      <c r="H500" s="179"/>
      <c r="I500" s="179"/>
      <c r="J500" s="191">
        <v>-16493.240000000002</v>
      </c>
      <c r="K500" s="191">
        <v>-436058.94</v>
      </c>
      <c r="L500" s="185" t="s">
        <v>638</v>
      </c>
      <c r="N500" s="192" t="s">
        <v>121</v>
      </c>
      <c r="O500" t="s">
        <v>320</v>
      </c>
      <c r="P500" t="s">
        <v>648</v>
      </c>
      <c r="Q500" t="s">
        <v>640</v>
      </c>
    </row>
    <row r="501" spans="2:17" ht="16.5" hidden="1" customHeight="1">
      <c r="B501" t="str">
        <f t="shared" si="21"/>
        <v>211013</v>
      </c>
      <c r="C501" s="179">
        <v>211013101799</v>
      </c>
      <c r="D501" t="s">
        <v>650</v>
      </c>
      <c r="E501" s="179"/>
      <c r="F501" s="179"/>
      <c r="G501" s="179">
        <v>-148696.93</v>
      </c>
      <c r="H501" s="179"/>
      <c r="I501" s="179"/>
      <c r="J501" s="191">
        <v>-3839</v>
      </c>
      <c r="K501" s="191">
        <v>-146532.18</v>
      </c>
      <c r="L501" s="185" t="s">
        <v>651</v>
      </c>
      <c r="N501" s="192" t="s">
        <v>121</v>
      </c>
      <c r="O501" t="s">
        <v>320</v>
      </c>
      <c r="P501" t="s">
        <v>652</v>
      </c>
    </row>
    <row r="502" spans="2:17" ht="16.5" hidden="1" customHeight="1">
      <c r="B502" t="str">
        <f t="shared" si="21"/>
        <v>211013</v>
      </c>
      <c r="C502" s="179">
        <v>211013101819</v>
      </c>
      <c r="D502" t="s">
        <v>653</v>
      </c>
      <c r="E502" s="179"/>
      <c r="F502" s="179"/>
      <c r="G502" s="179">
        <v>-28314.69</v>
      </c>
      <c r="H502" s="179"/>
      <c r="I502" s="179"/>
      <c r="J502" s="191">
        <v>-36938.720000000001</v>
      </c>
      <c r="K502" s="191">
        <v>-27983.22</v>
      </c>
      <c r="L502" s="185" t="s">
        <v>651</v>
      </c>
      <c r="N502" s="192" t="s">
        <v>121</v>
      </c>
      <c r="O502" t="s">
        <v>320</v>
      </c>
      <c r="P502" t="s">
        <v>654</v>
      </c>
    </row>
    <row r="503" spans="2:17" ht="16.5" hidden="1" customHeight="1">
      <c r="B503" t="str">
        <f t="shared" si="21"/>
        <v>211013</v>
      </c>
      <c r="C503" s="179">
        <v>211013101820</v>
      </c>
      <c r="D503" t="s">
        <v>655</v>
      </c>
      <c r="E503" s="179"/>
      <c r="F503" s="179"/>
      <c r="G503" s="179">
        <v>-330.91</v>
      </c>
      <c r="H503" s="179"/>
      <c r="I503" s="179"/>
      <c r="J503" s="191">
        <v>-1568.38</v>
      </c>
      <c r="K503" s="191">
        <v>-330.91</v>
      </c>
      <c r="L503" s="185" t="s">
        <v>651</v>
      </c>
      <c r="N503" s="192" t="s">
        <v>121</v>
      </c>
      <c r="O503" t="s">
        <v>320</v>
      </c>
      <c r="P503" t="s">
        <v>654</v>
      </c>
    </row>
    <row r="504" spans="2:17" ht="16.5" hidden="1" customHeight="1">
      <c r="B504" t="str">
        <f t="shared" si="21"/>
        <v>211013</v>
      </c>
      <c r="C504" s="179">
        <v>211013101823</v>
      </c>
      <c r="D504" t="s">
        <v>656</v>
      </c>
      <c r="E504" s="179"/>
      <c r="F504" s="179"/>
      <c r="G504" s="179">
        <v>-19110.849999999999</v>
      </c>
      <c r="H504" s="179"/>
      <c r="I504" s="179"/>
      <c r="J504" s="191">
        <v>-5640</v>
      </c>
      <c r="K504" s="191">
        <v>-20684.22</v>
      </c>
      <c r="L504" s="185" t="s">
        <v>651</v>
      </c>
      <c r="N504" s="192" t="s">
        <v>121</v>
      </c>
      <c r="O504" t="s">
        <v>320</v>
      </c>
      <c r="P504" t="s">
        <v>654</v>
      </c>
    </row>
    <row r="505" spans="2:17" ht="16.5" hidden="1" customHeight="1">
      <c r="B505" t="str">
        <f t="shared" si="21"/>
        <v>211013</v>
      </c>
      <c r="C505" s="179">
        <v>211013101824</v>
      </c>
      <c r="D505" t="s">
        <v>657</v>
      </c>
      <c r="E505" s="179"/>
      <c r="F505" s="179"/>
      <c r="G505" s="179">
        <v>0</v>
      </c>
      <c r="H505" s="179"/>
      <c r="I505" s="179"/>
      <c r="J505" s="191">
        <v>-3099</v>
      </c>
      <c r="K505" s="191">
        <v>0</v>
      </c>
      <c r="L505" s="185" t="s">
        <v>651</v>
      </c>
      <c r="N505" s="192" t="s">
        <v>121</v>
      </c>
      <c r="O505" t="s">
        <v>320</v>
      </c>
      <c r="P505" t="s">
        <v>654</v>
      </c>
    </row>
    <row r="506" spans="2:17" ht="16.5" hidden="1" customHeight="1">
      <c r="B506" t="str">
        <f t="shared" si="21"/>
        <v>211013</v>
      </c>
      <c r="C506" s="179">
        <v>211013101826</v>
      </c>
      <c r="D506" t="s">
        <v>658</v>
      </c>
      <c r="E506" s="179"/>
      <c r="F506" s="179"/>
      <c r="G506" s="179">
        <v>-2029.28</v>
      </c>
      <c r="H506" s="179"/>
      <c r="I506" s="179"/>
      <c r="J506" s="191">
        <v>-10500</v>
      </c>
      <c r="K506" s="191">
        <v>0</v>
      </c>
      <c r="L506" s="185" t="s">
        <v>651</v>
      </c>
      <c r="N506" s="192" t="s">
        <v>121</v>
      </c>
      <c r="O506" t="s">
        <v>320</v>
      </c>
      <c r="P506" t="s">
        <v>226</v>
      </c>
    </row>
    <row r="507" spans="2:17" ht="16.5" hidden="1" customHeight="1">
      <c r="B507" t="str">
        <f t="shared" si="21"/>
        <v>211013</v>
      </c>
      <c r="C507" s="179">
        <v>211013201002</v>
      </c>
      <c r="D507" t="s">
        <v>659</v>
      </c>
      <c r="E507" s="179"/>
      <c r="F507" s="179"/>
      <c r="G507" s="179">
        <v>-10330.27</v>
      </c>
      <c r="H507" s="179"/>
      <c r="I507" s="179"/>
      <c r="J507" s="191">
        <v>-915268.09</v>
      </c>
      <c r="K507" s="191">
        <v>-15070.67</v>
      </c>
      <c r="L507" s="185" t="s">
        <v>651</v>
      </c>
      <c r="N507" s="192" t="s">
        <v>121</v>
      </c>
      <c r="O507" t="s">
        <v>320</v>
      </c>
      <c r="P507" t="s">
        <v>82</v>
      </c>
    </row>
    <row r="508" spans="2:17" ht="16.5" hidden="1" customHeight="1">
      <c r="B508" t="str">
        <f t="shared" si="21"/>
        <v>211111</v>
      </c>
      <c r="C508" s="179">
        <v>211111101</v>
      </c>
      <c r="D508" t="s">
        <v>660</v>
      </c>
      <c r="E508" s="179"/>
      <c r="F508" s="179">
        <v>0</v>
      </c>
      <c r="G508" s="179">
        <v>-58735.76</v>
      </c>
      <c r="H508" s="179"/>
      <c r="I508" s="179"/>
      <c r="J508" s="191">
        <v>-50</v>
      </c>
      <c r="K508" s="191">
        <v>-54568.76</v>
      </c>
      <c r="L508" s="185" t="s">
        <v>651</v>
      </c>
      <c r="N508" s="192" t="s">
        <v>121</v>
      </c>
      <c r="O508" t="s">
        <v>661</v>
      </c>
      <c r="P508" t="s">
        <v>662</v>
      </c>
    </row>
    <row r="509" spans="2:17" ht="16.5" hidden="1" customHeight="1">
      <c r="B509" t="str">
        <f t="shared" si="21"/>
        <v>211112</v>
      </c>
      <c r="C509" s="179">
        <v>211112101</v>
      </c>
      <c r="D509" t="s">
        <v>663</v>
      </c>
      <c r="E509" s="179"/>
      <c r="F509" s="179">
        <v>0</v>
      </c>
      <c r="G509" s="179">
        <v>-139265.71</v>
      </c>
      <c r="H509" s="179"/>
      <c r="I509" s="179"/>
      <c r="J509" s="191">
        <v>0</v>
      </c>
      <c r="K509" s="191">
        <v>-142688.07999999999</v>
      </c>
      <c r="L509" s="185" t="s">
        <v>651</v>
      </c>
      <c r="N509" s="192" t="s">
        <v>121</v>
      </c>
      <c r="O509" t="s">
        <v>661</v>
      </c>
      <c r="P509" t="s">
        <v>662</v>
      </c>
    </row>
    <row r="510" spans="2:17" ht="16.5" hidden="1" customHeight="1">
      <c r="B510" t="str">
        <f t="shared" si="21"/>
        <v>211211</v>
      </c>
      <c r="C510" s="179">
        <v>211211102</v>
      </c>
      <c r="D510" t="s">
        <v>664</v>
      </c>
      <c r="E510" s="179"/>
      <c r="F510" s="179">
        <v>-4491952.3499999996</v>
      </c>
      <c r="G510" s="179">
        <v>-138806.41</v>
      </c>
      <c r="H510" s="179"/>
      <c r="I510" s="179"/>
      <c r="J510" s="191">
        <v>0</v>
      </c>
      <c r="K510" s="191">
        <v>-266470.13</v>
      </c>
      <c r="L510" s="185" t="s">
        <v>651</v>
      </c>
      <c r="N510" s="192" t="s">
        <v>121</v>
      </c>
      <c r="O510" t="s">
        <v>665</v>
      </c>
      <c r="P510" t="s">
        <v>666</v>
      </c>
    </row>
    <row r="511" spans="2:17" ht="16.5" hidden="1" customHeight="1">
      <c r="B511" t="str">
        <f t="shared" si="21"/>
        <v>211211</v>
      </c>
      <c r="C511" s="179">
        <v>211211103</v>
      </c>
      <c r="D511" t="s">
        <v>667</v>
      </c>
      <c r="E511" s="179"/>
      <c r="F511" s="179">
        <v>-768248.35</v>
      </c>
      <c r="G511" s="179">
        <v>-639230.81000000006</v>
      </c>
      <c r="H511" s="179"/>
      <c r="I511" s="179"/>
      <c r="J511" s="191">
        <v>-720913.79</v>
      </c>
      <c r="K511" s="191">
        <v>-1227251.96</v>
      </c>
      <c r="L511" s="185" t="s">
        <v>651</v>
      </c>
      <c r="N511" s="192" t="s">
        <v>121</v>
      </c>
      <c r="O511" t="s">
        <v>665</v>
      </c>
      <c r="P511" t="s">
        <v>668</v>
      </c>
    </row>
    <row r="512" spans="2:17" ht="16.5" hidden="1" customHeight="1">
      <c r="B512" t="str">
        <f t="shared" si="21"/>
        <v>211211</v>
      </c>
      <c r="C512" s="179">
        <v>211211104</v>
      </c>
      <c r="D512" t="s">
        <v>669</v>
      </c>
      <c r="E512" s="179"/>
      <c r="F512" s="179">
        <v>-1111607.47</v>
      </c>
      <c r="G512" s="179">
        <v>-2593880.56</v>
      </c>
      <c r="H512" s="179"/>
      <c r="I512" s="179"/>
      <c r="J512" s="191">
        <v>-1102216.23</v>
      </c>
      <c r="K512" s="191">
        <v>-2678983.0299999998</v>
      </c>
      <c r="L512" s="185" t="s">
        <v>651</v>
      </c>
      <c r="N512" s="192" t="s">
        <v>121</v>
      </c>
      <c r="O512" t="s">
        <v>665</v>
      </c>
      <c r="P512" t="s">
        <v>239</v>
      </c>
    </row>
    <row r="513" spans="2:17" ht="16.5" hidden="1" customHeight="1">
      <c r="B513" t="str">
        <f t="shared" si="21"/>
        <v>211211</v>
      </c>
      <c r="C513" s="179">
        <v>211211105</v>
      </c>
      <c r="D513" t="s">
        <v>670</v>
      </c>
      <c r="E513" s="179"/>
      <c r="F513" s="179">
        <v>-5015570.9000000004</v>
      </c>
      <c r="G513" s="179">
        <v>0</v>
      </c>
      <c r="H513" s="179"/>
      <c r="I513" s="179"/>
      <c r="J513" s="191">
        <v>0</v>
      </c>
      <c r="K513" s="191">
        <v>0</v>
      </c>
      <c r="L513" s="185" t="s">
        <v>651</v>
      </c>
      <c r="N513" s="192" t="s">
        <v>121</v>
      </c>
      <c r="O513" t="s">
        <v>665</v>
      </c>
      <c r="P513" t="s">
        <v>226</v>
      </c>
    </row>
    <row r="514" spans="2:17" ht="16.5" hidden="1" customHeight="1">
      <c r="B514" t="str">
        <f t="shared" si="21"/>
        <v>211211</v>
      </c>
      <c r="C514" s="179">
        <v>211211106</v>
      </c>
      <c r="D514" t="s">
        <v>671</v>
      </c>
      <c r="E514" s="179"/>
      <c r="F514" s="179"/>
      <c r="G514" s="179">
        <v>-121373.39</v>
      </c>
      <c r="H514" s="179"/>
      <c r="I514" s="179"/>
      <c r="J514" s="191">
        <v>-2880518.8</v>
      </c>
      <c r="K514" s="191">
        <v>-111914.76</v>
      </c>
      <c r="L514" s="185" t="s">
        <v>651</v>
      </c>
      <c r="N514" s="192" t="s">
        <v>121</v>
      </c>
      <c r="O514" t="s">
        <v>665</v>
      </c>
      <c r="P514" t="s">
        <v>226</v>
      </c>
    </row>
    <row r="515" spans="2:17" ht="16.5" hidden="1" customHeight="1">
      <c r="B515" t="str">
        <f t="shared" si="21"/>
        <v>211211</v>
      </c>
      <c r="C515" s="179">
        <v>211211107</v>
      </c>
      <c r="D515" t="s">
        <v>672</v>
      </c>
      <c r="E515" s="179"/>
      <c r="F515" s="179"/>
      <c r="G515" s="179">
        <v>-1272254.8899999999</v>
      </c>
      <c r="H515" s="179"/>
      <c r="I515" s="179"/>
      <c r="J515" s="191">
        <v>-353131.84</v>
      </c>
      <c r="K515" s="191">
        <v>-1272254.8899999999</v>
      </c>
      <c r="L515" s="185" t="s">
        <v>651</v>
      </c>
      <c r="N515" s="192" t="s">
        <v>121</v>
      </c>
      <c r="O515" t="s">
        <v>665</v>
      </c>
      <c r="P515" t="s">
        <v>654</v>
      </c>
    </row>
    <row r="516" spans="2:17" ht="16.5" hidden="1" customHeight="1">
      <c r="B516" t="str">
        <f t="shared" si="21"/>
        <v>211311</v>
      </c>
      <c r="C516" s="179">
        <v>211311101</v>
      </c>
      <c r="D516" t="s">
        <v>652</v>
      </c>
      <c r="E516" s="179"/>
      <c r="F516" s="179">
        <v>-113253.53</v>
      </c>
      <c r="G516" s="179">
        <v>0</v>
      </c>
      <c r="H516" s="179"/>
      <c r="I516" s="179"/>
      <c r="J516" s="191">
        <v>-145072.03</v>
      </c>
      <c r="K516" s="191">
        <v>0</v>
      </c>
      <c r="L516" s="185" t="s">
        <v>638</v>
      </c>
      <c r="N516" s="192" t="s">
        <v>121</v>
      </c>
      <c r="O516" t="s">
        <v>673</v>
      </c>
      <c r="P516" t="s">
        <v>639</v>
      </c>
      <c r="Q516" t="s">
        <v>674</v>
      </c>
    </row>
    <row r="517" spans="2:17" ht="16.5" hidden="1" customHeight="1">
      <c r="B517" t="str">
        <f t="shared" si="21"/>
        <v>211311</v>
      </c>
      <c r="C517" s="179">
        <v>211311201</v>
      </c>
      <c r="D517" t="s">
        <v>675</v>
      </c>
      <c r="E517" s="179"/>
      <c r="F517" s="179">
        <v>-34733.85</v>
      </c>
      <c r="G517" s="179">
        <v>0</v>
      </c>
      <c r="H517" s="179"/>
      <c r="I517" s="179"/>
      <c r="J517" s="191">
        <v>-46529.99</v>
      </c>
      <c r="K517" s="191">
        <v>0</v>
      </c>
      <c r="L517" s="185" t="s">
        <v>638</v>
      </c>
      <c r="N517" s="192" t="s">
        <v>121</v>
      </c>
      <c r="O517" t="s">
        <v>673</v>
      </c>
      <c r="P517" t="s">
        <v>646</v>
      </c>
      <c r="Q517" t="s">
        <v>674</v>
      </c>
    </row>
    <row r="518" spans="2:17" ht="16.5" hidden="1" customHeight="1">
      <c r="B518" t="str">
        <f t="shared" si="21"/>
        <v>211311</v>
      </c>
      <c r="C518" s="179">
        <v>211311202</v>
      </c>
      <c r="D518" t="s">
        <v>676</v>
      </c>
      <c r="E518" s="179"/>
      <c r="F518" s="179">
        <v>-7532.35</v>
      </c>
      <c r="G518" s="179">
        <v>-2398898.96</v>
      </c>
      <c r="H518" s="179"/>
      <c r="I518" s="179"/>
      <c r="J518" s="191">
        <v>-330.91</v>
      </c>
      <c r="K518" s="191">
        <v>-3016176.18</v>
      </c>
      <c r="L518" s="185" t="s">
        <v>638</v>
      </c>
      <c r="N518" s="192" t="s">
        <v>121</v>
      </c>
      <c r="O518" t="s">
        <v>673</v>
      </c>
      <c r="P518" t="s">
        <v>644</v>
      </c>
      <c r="Q518" t="s">
        <v>674</v>
      </c>
    </row>
    <row r="519" spans="2:17" ht="16.5" hidden="1" customHeight="1">
      <c r="B519" t="str">
        <f t="shared" si="21"/>
        <v>211311</v>
      </c>
      <c r="C519" s="179">
        <v>211311203</v>
      </c>
      <c r="D519" t="s">
        <v>677</v>
      </c>
      <c r="E519" s="179"/>
      <c r="F519" s="179">
        <v>-669.25</v>
      </c>
      <c r="G519" s="179">
        <v>-16352448</v>
      </c>
      <c r="H519" s="179"/>
      <c r="I519" s="179"/>
      <c r="J519" s="191">
        <v>-6811.47</v>
      </c>
      <c r="K519" s="191">
        <v>-16352448.359999999</v>
      </c>
      <c r="L519" s="185" t="s">
        <v>638</v>
      </c>
      <c r="N519" s="192" t="s">
        <v>121</v>
      </c>
      <c r="O519" t="s">
        <v>673</v>
      </c>
      <c r="P519" t="s">
        <v>642</v>
      </c>
      <c r="Q519" t="s">
        <v>674</v>
      </c>
    </row>
    <row r="520" spans="2:17" ht="16.5" hidden="1" customHeight="1">
      <c r="B520" t="str">
        <f t="shared" si="21"/>
        <v>211311</v>
      </c>
      <c r="C520" s="179">
        <v>211311204</v>
      </c>
      <c r="D520" t="s">
        <v>678</v>
      </c>
      <c r="E520" s="179"/>
      <c r="F520" s="179">
        <v>0</v>
      </c>
      <c r="G520" s="179">
        <v>-7723335.1399999997</v>
      </c>
      <c r="H520" s="179"/>
      <c r="I520" s="179"/>
      <c r="J520" s="191">
        <v>0</v>
      </c>
      <c r="K520" s="191">
        <v>-15780824.17</v>
      </c>
      <c r="L520" s="185" t="s">
        <v>638</v>
      </c>
      <c r="N520" s="192" t="s">
        <v>121</v>
      </c>
      <c r="O520" t="s">
        <v>673</v>
      </c>
      <c r="P520" t="s">
        <v>648</v>
      </c>
      <c r="Q520" t="s">
        <v>674</v>
      </c>
    </row>
    <row r="521" spans="2:17" ht="16.5" hidden="1" customHeight="1">
      <c r="B521" t="str">
        <f t="shared" si="21"/>
        <v>211311</v>
      </c>
      <c r="C521" s="179">
        <v>2113113002</v>
      </c>
      <c r="D521" t="s">
        <v>679</v>
      </c>
      <c r="E521" s="179"/>
      <c r="F521" s="179"/>
      <c r="G521" s="179">
        <v>-57530221.600000001</v>
      </c>
      <c r="H521" s="179"/>
      <c r="I521" s="179"/>
      <c r="J521" s="191">
        <v>0</v>
      </c>
      <c r="K521" s="191">
        <v>-49318598.149999999</v>
      </c>
      <c r="L521" s="185" t="s">
        <v>638</v>
      </c>
      <c r="N521" s="192" t="s">
        <v>121</v>
      </c>
      <c r="O521" t="s">
        <v>673</v>
      </c>
      <c r="P521" t="s">
        <v>648</v>
      </c>
      <c r="Q521" t="s">
        <v>674</v>
      </c>
    </row>
    <row r="522" spans="2:17" ht="16.5" hidden="1" customHeight="1">
      <c r="B522" t="str">
        <f t="shared" si="21"/>
        <v>211311</v>
      </c>
      <c r="C522" s="179">
        <v>211311205</v>
      </c>
      <c r="D522" t="s">
        <v>680</v>
      </c>
      <c r="E522" s="179"/>
      <c r="F522" s="179"/>
      <c r="G522" s="179">
        <v>0</v>
      </c>
      <c r="H522" s="179"/>
      <c r="I522" s="179"/>
      <c r="J522" s="191">
        <v>-65420.9</v>
      </c>
      <c r="K522" s="191">
        <v>0</v>
      </c>
      <c r="L522" s="185" t="s">
        <v>681</v>
      </c>
      <c r="N522" s="192" t="s">
        <v>121</v>
      </c>
      <c r="O522" t="s">
        <v>673</v>
      </c>
    </row>
    <row r="523" spans="2:17" ht="16.5" hidden="1" customHeight="1">
      <c r="B523" t="str">
        <f t="shared" si="21"/>
        <v>211311</v>
      </c>
      <c r="C523" s="179">
        <v>211311207</v>
      </c>
      <c r="D523" t="s">
        <v>682</v>
      </c>
      <c r="E523" s="179"/>
      <c r="F523" s="179"/>
      <c r="G523" s="179">
        <v>-2000</v>
      </c>
      <c r="H523" s="179"/>
      <c r="I523" s="179"/>
      <c r="J523" s="191">
        <v>-1307510.3799999999</v>
      </c>
      <c r="K523" s="191">
        <v>0</v>
      </c>
      <c r="L523" s="185" t="s">
        <v>681</v>
      </c>
      <c r="N523" s="192" t="s">
        <v>121</v>
      </c>
      <c r="O523" t="s">
        <v>673</v>
      </c>
    </row>
    <row r="524" spans="2:17" ht="16.5" hidden="1" customHeight="1">
      <c r="B524" t="str">
        <f t="shared" si="21"/>
        <v>211314</v>
      </c>
      <c r="C524" s="179">
        <v>211314002</v>
      </c>
      <c r="D524" t="s">
        <v>683</v>
      </c>
      <c r="E524" s="179"/>
      <c r="F524" s="179">
        <v>-10645.12</v>
      </c>
      <c r="G524" s="179">
        <v>-8262.94</v>
      </c>
      <c r="H524" s="179"/>
      <c r="I524" s="179"/>
      <c r="J524" s="191">
        <v>-15200.67</v>
      </c>
      <c r="K524" s="191">
        <v>-8262.94</v>
      </c>
      <c r="L524" s="185" t="s">
        <v>681</v>
      </c>
      <c r="N524" s="192" t="s">
        <v>121</v>
      </c>
      <c r="O524" t="s">
        <v>673</v>
      </c>
    </row>
    <row r="525" spans="2:17" ht="16.5" hidden="1" customHeight="1">
      <c r="B525" t="str">
        <f t="shared" ref="B525:B556" si="22">LEFT(C525,6)</f>
        <v>211314</v>
      </c>
      <c r="C525" s="179">
        <v>211314003</v>
      </c>
      <c r="D525" t="s">
        <v>684</v>
      </c>
      <c r="E525" s="179"/>
      <c r="F525" s="179">
        <v>-41233.279999999999</v>
      </c>
      <c r="G525" s="179">
        <v>-208594.77</v>
      </c>
      <c r="H525" s="179"/>
      <c r="I525" s="179"/>
      <c r="J525" s="191">
        <v>-54932.53</v>
      </c>
      <c r="K525" s="191">
        <v>-229549.51</v>
      </c>
      <c r="L525" s="185" t="s">
        <v>681</v>
      </c>
      <c r="N525" s="192" t="s">
        <v>121</v>
      </c>
      <c r="O525" t="s">
        <v>673</v>
      </c>
    </row>
    <row r="526" spans="2:17" ht="16.5" hidden="1" customHeight="1">
      <c r="B526" t="str">
        <f t="shared" si="22"/>
        <v>211314</v>
      </c>
      <c r="C526" s="179">
        <v>211314004</v>
      </c>
      <c r="D526" t="s">
        <v>685</v>
      </c>
      <c r="E526" s="179"/>
      <c r="F526" s="179">
        <v>-166085.23000000001</v>
      </c>
      <c r="G526" s="179">
        <v>-17344.96</v>
      </c>
      <c r="H526" s="179"/>
      <c r="I526" s="179"/>
      <c r="J526" s="191">
        <v>-136679.29</v>
      </c>
      <c r="K526" s="191">
        <v>-19176.080000000002</v>
      </c>
      <c r="L526" s="185" t="s">
        <v>651</v>
      </c>
      <c r="N526" s="192" t="s">
        <v>121</v>
      </c>
      <c r="O526" t="s">
        <v>673</v>
      </c>
    </row>
    <row r="527" spans="2:17" ht="16.5" hidden="1" customHeight="1">
      <c r="B527" t="str">
        <f t="shared" si="22"/>
        <v>211314</v>
      </c>
      <c r="C527" s="179">
        <v>211314005</v>
      </c>
      <c r="D527" t="s">
        <v>686</v>
      </c>
      <c r="E527" s="179"/>
      <c r="F527" s="179">
        <v>-259789.16</v>
      </c>
      <c r="G527" s="179">
        <v>-79891.95</v>
      </c>
      <c r="H527" s="179"/>
      <c r="I527" s="179"/>
      <c r="J527" s="191">
        <v>-196273.42</v>
      </c>
      <c r="K527" s="191">
        <v>-88326.17</v>
      </c>
      <c r="L527" s="185" t="s">
        <v>651</v>
      </c>
      <c r="N527" s="192" t="s">
        <v>121</v>
      </c>
      <c r="O527" t="s">
        <v>673</v>
      </c>
    </row>
    <row r="528" spans="2:17" ht="16.5" hidden="1" customHeight="1">
      <c r="B528" t="str">
        <f t="shared" si="22"/>
        <v>211314</v>
      </c>
      <c r="C528" s="179">
        <v>211314006</v>
      </c>
      <c r="D528" t="s">
        <v>687</v>
      </c>
      <c r="E528" s="179"/>
      <c r="F528" s="179">
        <v>-1196586.72</v>
      </c>
      <c r="G528" s="179">
        <v>-171018.69</v>
      </c>
      <c r="H528" s="179"/>
      <c r="I528" s="179"/>
      <c r="J528" s="191">
        <v>-903789.12</v>
      </c>
      <c r="K528" s="191">
        <v>-205561.35</v>
      </c>
      <c r="L528" s="185" t="s">
        <v>635</v>
      </c>
      <c r="N528" s="192" t="s">
        <v>121</v>
      </c>
      <c r="O528" t="s">
        <v>673</v>
      </c>
    </row>
    <row r="529" spans="2:17" ht="16.5" hidden="1" customHeight="1">
      <c r="B529" t="str">
        <f t="shared" si="22"/>
        <v>211314</v>
      </c>
      <c r="C529" s="179">
        <v>211314007</v>
      </c>
      <c r="D529" t="s">
        <v>688</v>
      </c>
      <c r="E529" s="179"/>
      <c r="F529" s="179">
        <v>-2498003.39</v>
      </c>
      <c r="G529" s="179">
        <v>-84561.93</v>
      </c>
      <c r="H529" s="179"/>
      <c r="I529" s="179"/>
      <c r="J529" s="191">
        <v>-2037758.81</v>
      </c>
      <c r="K529" s="191">
        <v>-75646.58</v>
      </c>
      <c r="L529" s="185" t="s">
        <v>635</v>
      </c>
      <c r="N529" s="192" t="s">
        <v>121</v>
      </c>
      <c r="O529" t="s">
        <v>673</v>
      </c>
    </row>
    <row r="530" spans="2:17" ht="16.5" hidden="1" customHeight="1">
      <c r="B530" t="str">
        <f t="shared" si="22"/>
        <v>211314</v>
      </c>
      <c r="C530" s="179">
        <v>211314008</v>
      </c>
      <c r="D530" t="s">
        <v>689</v>
      </c>
      <c r="E530" s="179"/>
      <c r="F530" s="179">
        <v>0</v>
      </c>
      <c r="G530" s="179">
        <v>-57590.83</v>
      </c>
      <c r="H530" s="179"/>
      <c r="I530" s="179"/>
      <c r="J530" s="191">
        <v>0</v>
      </c>
      <c r="K530" s="191">
        <v>-106141.71</v>
      </c>
      <c r="L530" s="185" t="s">
        <v>635</v>
      </c>
      <c r="N530" s="192" t="s">
        <v>121</v>
      </c>
      <c r="O530" t="s">
        <v>673</v>
      </c>
    </row>
    <row r="531" spans="2:17" ht="16.5" hidden="1" customHeight="1">
      <c r="B531" t="str">
        <f t="shared" si="22"/>
        <v>211314</v>
      </c>
      <c r="C531" s="179">
        <v>211314009</v>
      </c>
      <c r="D531" t="s">
        <v>690</v>
      </c>
      <c r="E531" s="179"/>
      <c r="F531" s="179">
        <v>-61860.53</v>
      </c>
      <c r="G531" s="179">
        <v>-19304.09</v>
      </c>
      <c r="H531" s="179"/>
      <c r="I531" s="179"/>
      <c r="J531" s="191">
        <v>-123920.58</v>
      </c>
      <c r="K531" s="191">
        <v>-34346.550000000003</v>
      </c>
      <c r="L531" s="185" t="s">
        <v>635</v>
      </c>
      <c r="N531" s="192" t="s">
        <v>121</v>
      </c>
      <c r="O531" t="s">
        <v>673</v>
      </c>
    </row>
    <row r="532" spans="2:17" ht="16.5" hidden="1" customHeight="1">
      <c r="B532" t="str">
        <f t="shared" si="22"/>
        <v>211314</v>
      </c>
      <c r="C532" s="179">
        <v>211314010</v>
      </c>
      <c r="D532" t="s">
        <v>691</v>
      </c>
      <c r="E532" s="179"/>
      <c r="F532" s="179">
        <v>-6917734.3600000003</v>
      </c>
      <c r="G532" s="179">
        <v>-732790.82</v>
      </c>
      <c r="H532" s="179"/>
      <c r="I532" s="179"/>
      <c r="J532" s="191">
        <v>0</v>
      </c>
      <c r="K532" s="191">
        <v>-800976.19</v>
      </c>
      <c r="L532" s="185" t="s">
        <v>692</v>
      </c>
      <c r="N532" s="192" t="s">
        <v>121</v>
      </c>
      <c r="O532" t="s">
        <v>673</v>
      </c>
    </row>
    <row r="533" spans="2:17" ht="16.5" hidden="1" customHeight="1">
      <c r="B533" t="str">
        <f t="shared" si="22"/>
        <v>211491</v>
      </c>
      <c r="C533" s="179">
        <v>2114912001</v>
      </c>
      <c r="D533" t="s">
        <v>693</v>
      </c>
      <c r="E533" s="179"/>
      <c r="F533" s="179"/>
      <c r="G533" s="179">
        <v>0</v>
      </c>
      <c r="H533" s="179"/>
      <c r="I533" s="179"/>
      <c r="J533" s="191">
        <v>-5927380.3700000001</v>
      </c>
      <c r="K533" s="191">
        <v>0</v>
      </c>
      <c r="L533" s="185" t="s">
        <v>692</v>
      </c>
      <c r="N533" s="192" t="s">
        <v>121</v>
      </c>
      <c r="O533" t="s">
        <v>176</v>
      </c>
    </row>
    <row r="534" spans="2:17" ht="16.5" hidden="1" customHeight="1">
      <c r="B534" t="str">
        <f t="shared" si="22"/>
        <v>211491</v>
      </c>
      <c r="C534" s="179">
        <v>2114912002</v>
      </c>
      <c r="D534" t="s">
        <v>694</v>
      </c>
      <c r="E534" s="179"/>
      <c r="F534" s="179"/>
      <c r="G534" s="179">
        <v>-365546.91</v>
      </c>
      <c r="H534" s="179"/>
      <c r="I534" s="179"/>
      <c r="J534" s="191">
        <v>-1481845.09</v>
      </c>
      <c r="K534" s="191">
        <v>-399639.6</v>
      </c>
      <c r="L534" s="185" t="s">
        <v>692</v>
      </c>
      <c r="N534" s="192" t="s">
        <v>121</v>
      </c>
      <c r="O534" t="s">
        <v>176</v>
      </c>
    </row>
    <row r="535" spans="2:17" ht="16.5" hidden="1" customHeight="1">
      <c r="B535" t="str">
        <f t="shared" si="22"/>
        <v>211491</v>
      </c>
      <c r="C535" s="179">
        <v>2114911001</v>
      </c>
      <c r="D535" t="s">
        <v>693</v>
      </c>
      <c r="E535" s="179"/>
      <c r="F535" s="179"/>
      <c r="G535" s="179">
        <v>0</v>
      </c>
      <c r="H535" s="179"/>
      <c r="I535" s="179"/>
      <c r="J535" s="191">
        <v>-9364359.0899999999</v>
      </c>
      <c r="K535" s="191">
        <v>0</v>
      </c>
      <c r="L535" s="185" t="s">
        <v>692</v>
      </c>
      <c r="N535" s="192" t="s">
        <v>121</v>
      </c>
      <c r="O535" t="s">
        <v>176</v>
      </c>
    </row>
    <row r="536" spans="2:17" ht="16.5" hidden="1" customHeight="1">
      <c r="B536" t="str">
        <f t="shared" si="22"/>
        <v>211491</v>
      </c>
      <c r="C536" s="179">
        <v>2114911002</v>
      </c>
      <c r="D536" t="s">
        <v>694</v>
      </c>
      <c r="E536" s="179"/>
      <c r="F536" s="179"/>
      <c r="G536" s="179">
        <v>0</v>
      </c>
      <c r="H536" s="179"/>
      <c r="I536" s="179"/>
      <c r="J536" s="191">
        <v>-1663338.51</v>
      </c>
      <c r="K536" s="191">
        <v>0</v>
      </c>
      <c r="L536" s="185" t="s">
        <v>695</v>
      </c>
      <c r="N536" s="192" t="s">
        <v>121</v>
      </c>
      <c r="O536" t="s">
        <v>176</v>
      </c>
      <c r="P536" t="s">
        <v>286</v>
      </c>
    </row>
    <row r="537" spans="2:17" ht="16.5" hidden="1" customHeight="1">
      <c r="B537" t="str">
        <f t="shared" si="22"/>
        <v>211611</v>
      </c>
      <c r="C537" s="179">
        <v>211611102</v>
      </c>
      <c r="D537" t="s">
        <v>696</v>
      </c>
      <c r="E537" s="179"/>
      <c r="F537" s="179">
        <v>-54171195.740000002</v>
      </c>
      <c r="G537" s="179">
        <v>0</v>
      </c>
      <c r="H537" s="179"/>
      <c r="I537" s="179"/>
      <c r="J537" s="191">
        <v>0</v>
      </c>
      <c r="K537" s="191">
        <v>0</v>
      </c>
      <c r="L537" s="185" t="s">
        <v>695</v>
      </c>
      <c r="N537" s="192" t="s">
        <v>121</v>
      </c>
      <c r="O537" t="s">
        <v>665</v>
      </c>
      <c r="P537" t="s">
        <v>288</v>
      </c>
    </row>
    <row r="538" spans="2:17" ht="16.5" hidden="1" customHeight="1">
      <c r="B538" t="str">
        <f t="shared" si="22"/>
        <v>211611</v>
      </c>
      <c r="C538" s="179">
        <v>211611103</v>
      </c>
      <c r="D538" t="s">
        <v>697</v>
      </c>
      <c r="E538" s="179"/>
      <c r="F538" s="179">
        <v>-67336990.840000004</v>
      </c>
      <c r="G538" s="179">
        <v>-10609395.720000001</v>
      </c>
      <c r="H538" s="179"/>
      <c r="I538" s="179"/>
      <c r="J538" s="191">
        <v>0</v>
      </c>
      <c r="K538" s="191">
        <v>-14585295.970000001</v>
      </c>
      <c r="L538" s="185" t="s">
        <v>695</v>
      </c>
      <c r="N538" s="192" t="s">
        <v>121</v>
      </c>
      <c r="O538" t="s">
        <v>665</v>
      </c>
      <c r="P538" t="s">
        <v>286</v>
      </c>
    </row>
    <row r="539" spans="2:17" ht="16.5" hidden="1" customHeight="1">
      <c r="B539" t="str">
        <f t="shared" si="22"/>
        <v>211611</v>
      </c>
      <c r="C539" s="179">
        <v>211611104</v>
      </c>
      <c r="D539" t="s">
        <v>698</v>
      </c>
      <c r="E539" s="179"/>
      <c r="F539" s="179">
        <v>-1684453.3</v>
      </c>
      <c r="G539" s="179">
        <v>-3819382.45</v>
      </c>
      <c r="H539" s="179"/>
      <c r="I539" s="179"/>
      <c r="J539" s="191">
        <v>-3142552.4</v>
      </c>
      <c r="K539" s="191">
        <v>-5250706.54</v>
      </c>
      <c r="L539" s="185" t="s">
        <v>695</v>
      </c>
      <c r="N539" s="192" t="s">
        <v>121</v>
      </c>
      <c r="O539" t="s">
        <v>665</v>
      </c>
      <c r="P539" t="s">
        <v>288</v>
      </c>
    </row>
    <row r="540" spans="2:17" ht="16.5" hidden="1" customHeight="1">
      <c r="B540" t="str">
        <f t="shared" si="22"/>
        <v>211611</v>
      </c>
      <c r="C540" s="179">
        <v>211611105</v>
      </c>
      <c r="D540" t="s">
        <v>699</v>
      </c>
      <c r="E540" s="179"/>
      <c r="F540" s="179">
        <v>-16352449.039999999</v>
      </c>
      <c r="G540" s="179">
        <v>-188053155.83000001</v>
      </c>
      <c r="H540" s="179"/>
      <c r="I540" s="179"/>
      <c r="J540" s="191">
        <v>-16352448.369999999</v>
      </c>
      <c r="K540" s="191">
        <v>-181239635.99000001</v>
      </c>
      <c r="L540" s="185" t="s">
        <v>700</v>
      </c>
      <c r="N540" s="192" t="s">
        <v>121</v>
      </c>
      <c r="O540" t="s">
        <v>665</v>
      </c>
      <c r="P540" t="s">
        <v>642</v>
      </c>
      <c r="Q540" t="s">
        <v>674</v>
      </c>
    </row>
    <row r="541" spans="2:17" ht="16.5" hidden="1" customHeight="1">
      <c r="B541" t="str">
        <f t="shared" si="22"/>
        <v>211611</v>
      </c>
      <c r="C541" s="179">
        <v>211611106</v>
      </c>
      <c r="D541" t="s">
        <v>701</v>
      </c>
      <c r="E541" s="179"/>
      <c r="F541" s="179"/>
      <c r="G541" s="179">
        <v>-196379747.34999999</v>
      </c>
      <c r="H541" s="179"/>
      <c r="I541" s="179"/>
      <c r="J541" s="191">
        <v>-17433681.850000001</v>
      </c>
      <c r="K541" s="191">
        <v>-194901848.90000001</v>
      </c>
      <c r="L541" s="185" t="s">
        <v>700</v>
      </c>
      <c r="N541" s="192" t="s">
        <v>121</v>
      </c>
      <c r="O541" t="s">
        <v>665</v>
      </c>
      <c r="P541" t="s">
        <v>644</v>
      </c>
      <c r="Q541" t="s">
        <v>674</v>
      </c>
    </row>
    <row r="542" spans="2:17" ht="16.5" hidden="1" customHeight="1">
      <c r="B542" t="str">
        <f t="shared" si="22"/>
        <v>211611</v>
      </c>
      <c r="C542" s="179">
        <v>211611107</v>
      </c>
      <c r="D542" t="s">
        <v>702</v>
      </c>
      <c r="E542" s="179"/>
      <c r="F542" s="179"/>
      <c r="G542" s="179">
        <v>-142276664.86000001</v>
      </c>
      <c r="H542" s="179"/>
      <c r="I542" s="179"/>
      <c r="J542" s="191">
        <v>-6000000</v>
      </c>
      <c r="K542" s="191">
        <v>-134219175.83000001</v>
      </c>
      <c r="L542" s="185" t="s">
        <v>700</v>
      </c>
      <c r="N542" s="192" t="s">
        <v>121</v>
      </c>
      <c r="O542" t="s">
        <v>665</v>
      </c>
      <c r="P542" t="s">
        <v>648</v>
      </c>
      <c r="Q542" t="s">
        <v>674</v>
      </c>
    </row>
    <row r="543" spans="2:17" ht="16.5" hidden="1" customHeight="1">
      <c r="B543" t="str">
        <f t="shared" si="22"/>
        <v>211715</v>
      </c>
      <c r="C543" s="179">
        <v>211715001</v>
      </c>
      <c r="D543" t="s">
        <v>703</v>
      </c>
      <c r="E543" s="179"/>
      <c r="F543" s="179">
        <v>-2000</v>
      </c>
      <c r="G543" s="179">
        <v>0</v>
      </c>
      <c r="H543" s="179"/>
      <c r="I543" s="179"/>
      <c r="J543" s="191">
        <v>0</v>
      </c>
      <c r="K543" s="191">
        <v>0</v>
      </c>
      <c r="L543" s="185" t="s">
        <v>704</v>
      </c>
      <c r="N543" s="192" t="s">
        <v>121</v>
      </c>
      <c r="O543" t="s">
        <v>705</v>
      </c>
    </row>
    <row r="544" spans="2:17" ht="16.5" hidden="1" customHeight="1">
      <c r="B544" t="str">
        <f t="shared" si="22"/>
        <v>211715</v>
      </c>
      <c r="C544" s="179">
        <v>211715101</v>
      </c>
      <c r="D544" t="s">
        <v>706</v>
      </c>
      <c r="E544" s="179"/>
      <c r="F544" s="179"/>
      <c r="G544" s="179">
        <v>0</v>
      </c>
      <c r="H544" s="179"/>
      <c r="I544" s="179"/>
      <c r="J544" s="191">
        <v>0</v>
      </c>
      <c r="K544" s="191">
        <v>0</v>
      </c>
      <c r="L544" s="185" t="s">
        <v>704</v>
      </c>
      <c r="N544" s="192" t="s">
        <v>121</v>
      </c>
      <c r="O544" t="s">
        <v>705</v>
      </c>
    </row>
    <row r="545" spans="2:17" ht="16.5" hidden="1" customHeight="1">
      <c r="B545" t="str">
        <f t="shared" si="22"/>
        <v>211717</v>
      </c>
      <c r="C545" s="179">
        <v>211717001</v>
      </c>
      <c r="D545" t="s">
        <v>707</v>
      </c>
      <c r="E545" s="179"/>
      <c r="F545" s="179"/>
      <c r="G545" s="179">
        <v>0</v>
      </c>
      <c r="H545" s="179"/>
      <c r="I545" s="179"/>
      <c r="J545" s="191">
        <v>-8262.94</v>
      </c>
      <c r="K545" s="191">
        <v>0</v>
      </c>
      <c r="L545" s="185" t="s">
        <v>704</v>
      </c>
      <c r="N545" s="192" t="s">
        <v>121</v>
      </c>
      <c r="O545" t="s">
        <v>705</v>
      </c>
    </row>
    <row r="546" spans="2:17" ht="16.5" hidden="1" customHeight="1">
      <c r="B546" t="str">
        <f t="shared" si="22"/>
        <v>211717</v>
      </c>
      <c r="C546" s="179">
        <v>211717002</v>
      </c>
      <c r="D546" t="s">
        <v>708</v>
      </c>
      <c r="E546" s="179"/>
      <c r="F546" s="179"/>
      <c r="G546" s="179">
        <v>0</v>
      </c>
      <c r="H546" s="179"/>
      <c r="I546" s="179"/>
      <c r="J546" s="191">
        <v>-208590.52</v>
      </c>
      <c r="K546" s="191">
        <v>0</v>
      </c>
      <c r="L546" s="185" t="s">
        <v>709</v>
      </c>
      <c r="N546" s="192" t="s">
        <v>121</v>
      </c>
      <c r="O546" t="s">
        <v>705</v>
      </c>
    </row>
    <row r="547" spans="2:17" ht="16.5" hidden="1" customHeight="1">
      <c r="B547" t="str">
        <f t="shared" si="22"/>
        <v>211811</v>
      </c>
      <c r="C547" s="179">
        <v>211811101</v>
      </c>
      <c r="D547" t="s">
        <v>710</v>
      </c>
      <c r="E547" s="179"/>
      <c r="F547" s="179">
        <v>-12243.16</v>
      </c>
      <c r="G547" s="179">
        <v>-2596219.7400000002</v>
      </c>
      <c r="H547" s="179"/>
      <c r="I547" s="179"/>
      <c r="J547" s="191">
        <v>0</v>
      </c>
      <c r="K547" s="191">
        <v>-4044727.1</v>
      </c>
      <c r="L547" s="185" t="s">
        <v>709</v>
      </c>
      <c r="N547" s="192" t="s">
        <v>121</v>
      </c>
      <c r="O547" t="s">
        <v>661</v>
      </c>
    </row>
    <row r="548" spans="2:17" ht="16.5" hidden="1" customHeight="1">
      <c r="B548" t="str">
        <f t="shared" si="22"/>
        <v>211811</v>
      </c>
      <c r="C548" s="179">
        <v>211811102</v>
      </c>
      <c r="D548" t="s">
        <v>711</v>
      </c>
      <c r="E548" s="179"/>
      <c r="F548" s="179">
        <v>-56392.82</v>
      </c>
      <c r="G548" s="179">
        <v>-369185.92</v>
      </c>
      <c r="H548" s="179"/>
      <c r="I548" s="179"/>
      <c r="J548" s="191">
        <v>0</v>
      </c>
      <c r="K548" s="191">
        <v>-676840.87</v>
      </c>
      <c r="L548" s="185" t="s">
        <v>709</v>
      </c>
      <c r="N548" s="192" t="s">
        <v>121</v>
      </c>
      <c r="O548" t="s">
        <v>661</v>
      </c>
    </row>
    <row r="549" spans="2:17" ht="16.5" hidden="1" customHeight="1">
      <c r="B549" t="str">
        <f t="shared" si="22"/>
        <v>211812</v>
      </c>
      <c r="C549" s="179">
        <v>211812101</v>
      </c>
      <c r="D549" t="s">
        <v>712</v>
      </c>
      <c r="E549" s="179"/>
      <c r="F549" s="179">
        <v>-173389.59</v>
      </c>
      <c r="G549" s="179">
        <v>0</v>
      </c>
      <c r="H549" s="179"/>
      <c r="I549" s="179"/>
      <c r="J549" s="191">
        <v>-220112.76</v>
      </c>
      <c r="K549" s="191">
        <v>0</v>
      </c>
      <c r="L549" s="185" t="s">
        <v>713</v>
      </c>
      <c r="N549" s="192" t="s">
        <v>121</v>
      </c>
      <c r="O549" t="s">
        <v>661</v>
      </c>
    </row>
    <row r="550" spans="2:17" ht="16.5" hidden="1" customHeight="1">
      <c r="B550" t="str">
        <f t="shared" si="22"/>
        <v>211812</v>
      </c>
      <c r="C550" s="179">
        <v>211812102</v>
      </c>
      <c r="D550" t="s">
        <v>714</v>
      </c>
      <c r="E550" s="179"/>
      <c r="F550" s="179">
        <v>-63807.14</v>
      </c>
      <c r="G550" s="179">
        <v>0</v>
      </c>
      <c r="H550" s="179"/>
      <c r="I550" s="179"/>
      <c r="J550" s="191">
        <v>-81001.509999999995</v>
      </c>
      <c r="K550" s="191">
        <v>0</v>
      </c>
      <c r="L550" s="185" t="s">
        <v>713</v>
      </c>
      <c r="N550" s="192" t="s">
        <v>121</v>
      </c>
      <c r="O550" t="s">
        <v>661</v>
      </c>
    </row>
    <row r="551" spans="2:17" ht="16.5" hidden="1" customHeight="1">
      <c r="B551" t="str">
        <f t="shared" si="22"/>
        <v>211812</v>
      </c>
      <c r="C551" s="179">
        <v>211812201</v>
      </c>
      <c r="D551" t="s">
        <v>715</v>
      </c>
      <c r="E551" s="179"/>
      <c r="F551" s="179">
        <v>0</v>
      </c>
      <c r="G551" s="179">
        <v>-27995385</v>
      </c>
      <c r="H551" s="179"/>
      <c r="I551" s="179"/>
      <c r="J551" s="191">
        <v>0</v>
      </c>
      <c r="K551" s="191">
        <v>-27995385</v>
      </c>
      <c r="L551" s="185" t="s">
        <v>713</v>
      </c>
      <c r="N551" s="192" t="s">
        <v>121</v>
      </c>
      <c r="O551" t="s">
        <v>661</v>
      </c>
    </row>
    <row r="552" spans="2:17" ht="16.5" hidden="1" customHeight="1">
      <c r="B552" t="str">
        <f t="shared" si="22"/>
        <v>211812</v>
      </c>
      <c r="C552" s="179">
        <v>211812202</v>
      </c>
      <c r="D552" t="s">
        <v>716</v>
      </c>
      <c r="E552" s="179"/>
      <c r="F552" s="179">
        <v>0</v>
      </c>
      <c r="G552" s="179">
        <v>-111981540</v>
      </c>
      <c r="H552" s="179"/>
      <c r="I552" s="179"/>
      <c r="J552" s="191">
        <v>0</v>
      </c>
      <c r="K552" s="191">
        <v>-111981540</v>
      </c>
      <c r="L552" s="185" t="s">
        <v>713</v>
      </c>
      <c r="N552" s="192" t="s">
        <v>121</v>
      </c>
      <c r="O552" t="s">
        <v>661</v>
      </c>
    </row>
    <row r="553" spans="2:17" ht="16.5" hidden="1" customHeight="1">
      <c r="B553" t="str">
        <f t="shared" si="22"/>
        <v>211917</v>
      </c>
      <c r="C553" s="179">
        <v>211917101</v>
      </c>
      <c r="D553" t="s">
        <v>717</v>
      </c>
      <c r="E553" s="179"/>
      <c r="F553" s="179"/>
      <c r="G553" s="179">
        <v>0</v>
      </c>
      <c r="H553" s="179"/>
      <c r="I553" s="179"/>
      <c r="J553" s="191">
        <v>-650882.29</v>
      </c>
      <c r="K553" s="191">
        <v>0</v>
      </c>
      <c r="L553" s="185" t="s">
        <v>713</v>
      </c>
      <c r="N553" s="192" t="s">
        <v>121</v>
      </c>
      <c r="O553" t="s">
        <v>718</v>
      </c>
    </row>
    <row r="554" spans="2:17" ht="16.5" hidden="1" customHeight="1">
      <c r="B554" t="str">
        <f t="shared" si="22"/>
        <v>211917</v>
      </c>
      <c r="C554" s="179">
        <v>211917101001</v>
      </c>
      <c r="D554" t="s">
        <v>719</v>
      </c>
      <c r="E554" s="179"/>
      <c r="F554" s="179">
        <v>-112562.1</v>
      </c>
      <c r="G554" s="179">
        <v>-418871.33</v>
      </c>
      <c r="H554" s="179"/>
      <c r="I554" s="179"/>
      <c r="J554" s="191">
        <v>0</v>
      </c>
      <c r="K554" s="191">
        <v>-418871.33</v>
      </c>
      <c r="L554" s="185" t="s">
        <v>713</v>
      </c>
      <c r="N554" s="192" t="s">
        <v>121</v>
      </c>
      <c r="O554" t="s">
        <v>718</v>
      </c>
    </row>
    <row r="555" spans="2:17" ht="16.5" hidden="1" customHeight="1">
      <c r="B555" t="s">
        <v>720</v>
      </c>
      <c r="C555" s="179">
        <v>211917201</v>
      </c>
      <c r="D555" t="s">
        <v>721</v>
      </c>
      <c r="E555" s="179"/>
      <c r="F555" s="179"/>
      <c r="J555" s="191">
        <v>-324592.64000000001</v>
      </c>
      <c r="K555" s="191">
        <v>-822230.33</v>
      </c>
      <c r="L555" s="185" t="s">
        <v>713</v>
      </c>
      <c r="N555" s="192" t="s">
        <v>121</v>
      </c>
      <c r="O555" t="s">
        <v>718</v>
      </c>
    </row>
    <row r="556" spans="2:17" ht="16.5" hidden="1" customHeight="1">
      <c r="B556" t="str">
        <f t="shared" ref="B556:B587" si="23">LEFT(C556,6)</f>
        <v>211917</v>
      </c>
      <c r="C556" s="179">
        <v>211917201001</v>
      </c>
      <c r="D556" t="s">
        <v>722</v>
      </c>
      <c r="E556" s="179"/>
      <c r="F556" s="179">
        <v>-56281.04</v>
      </c>
      <c r="G556" s="179">
        <v>0</v>
      </c>
      <c r="H556" s="179"/>
      <c r="I556" s="179"/>
      <c r="J556" s="191">
        <v>0</v>
      </c>
      <c r="K556" s="191">
        <v>0</v>
      </c>
      <c r="L556" s="185" t="s">
        <v>723</v>
      </c>
      <c r="N556" s="192" t="s">
        <v>121</v>
      </c>
      <c r="O556" t="s">
        <v>718</v>
      </c>
    </row>
    <row r="557" spans="2:17" ht="16.5" hidden="1" customHeight="1">
      <c r="B557" t="str">
        <f t="shared" si="23"/>
        <v>211917</v>
      </c>
      <c r="C557" s="179">
        <v>211917301</v>
      </c>
      <c r="D557" t="s">
        <v>724</v>
      </c>
      <c r="E557" s="179"/>
      <c r="F557" s="179"/>
      <c r="G557" s="179">
        <v>0</v>
      </c>
      <c r="H557" s="179"/>
      <c r="I557" s="179"/>
      <c r="J557" s="191">
        <v>-1972889</v>
      </c>
      <c r="K557" s="191">
        <v>0</v>
      </c>
      <c r="L557" s="185">
        <v>10</v>
      </c>
      <c r="N557" s="192" t="s">
        <v>124</v>
      </c>
      <c r="O557" t="s">
        <v>718</v>
      </c>
      <c r="P557" s="197" t="s">
        <v>725</v>
      </c>
      <c r="Q557" s="197" t="s">
        <v>726</v>
      </c>
    </row>
    <row r="558" spans="2:17" ht="16.5" hidden="1" customHeight="1">
      <c r="B558" t="str">
        <f t="shared" si="23"/>
        <v>221311</v>
      </c>
      <c r="C558" s="179">
        <v>221311001</v>
      </c>
      <c r="D558" t="s">
        <v>289</v>
      </c>
      <c r="E558" s="179"/>
      <c r="F558" s="179">
        <v>-7072930.5599999996</v>
      </c>
      <c r="G558" s="179">
        <v>-21572380.440000001</v>
      </c>
      <c r="H558" s="179"/>
      <c r="I558" s="179"/>
      <c r="J558" s="191">
        <v>0</v>
      </c>
      <c r="K558" s="191">
        <v>-22504802</v>
      </c>
      <c r="L558" s="185">
        <v>10</v>
      </c>
      <c r="N558" s="192" t="s">
        <v>124</v>
      </c>
      <c r="O558" t="s">
        <v>727</v>
      </c>
      <c r="P558" s="197" t="s">
        <v>725</v>
      </c>
      <c r="Q558" s="197" t="s">
        <v>726</v>
      </c>
    </row>
    <row r="559" spans="2:17" ht="16.5" hidden="1" customHeight="1">
      <c r="B559" t="str">
        <f t="shared" si="23"/>
        <v>221311</v>
      </c>
      <c r="C559" s="179">
        <v>221311002</v>
      </c>
      <c r="D559" t="s">
        <v>728</v>
      </c>
      <c r="E559" s="179"/>
      <c r="F559" s="179">
        <v>-2546255.04</v>
      </c>
      <c r="G559" s="179">
        <v>-74540238.099999994</v>
      </c>
      <c r="H559" s="179"/>
      <c r="I559" s="179"/>
      <c r="J559" s="191">
        <v>0</v>
      </c>
      <c r="K559" s="191">
        <v>-154404778.87</v>
      </c>
      <c r="L559" s="185">
        <v>10</v>
      </c>
      <c r="N559" s="192" t="s">
        <v>124</v>
      </c>
      <c r="O559" t="s">
        <v>727</v>
      </c>
      <c r="P559" s="197" t="s">
        <v>725</v>
      </c>
      <c r="Q559" s="197" t="s">
        <v>726</v>
      </c>
    </row>
    <row r="560" spans="2:17" ht="16.5" hidden="1" customHeight="1">
      <c r="B560" t="str">
        <f t="shared" si="23"/>
        <v>221311</v>
      </c>
      <c r="C560" s="179">
        <v>221311101</v>
      </c>
      <c r="D560" t="s">
        <v>289</v>
      </c>
      <c r="E560" s="179"/>
      <c r="F560" s="179"/>
      <c r="G560" s="179">
        <v>-114940762.2</v>
      </c>
      <c r="H560" s="179"/>
      <c r="I560" s="179"/>
      <c r="J560" s="191">
        <v>-6536813.4500000002</v>
      </c>
      <c r="K560" s="191">
        <v>-119473301.70999999</v>
      </c>
      <c r="L560" s="185">
        <v>10</v>
      </c>
      <c r="N560" s="192" t="s">
        <v>124</v>
      </c>
      <c r="O560" t="s">
        <v>727</v>
      </c>
      <c r="P560" s="197" t="s">
        <v>725</v>
      </c>
      <c r="Q560" s="197" t="s">
        <v>726</v>
      </c>
    </row>
    <row r="561" spans="2:17" ht="16.5" hidden="1" customHeight="1">
      <c r="B561" t="str">
        <f t="shared" si="23"/>
        <v>221311</v>
      </c>
      <c r="C561" s="179">
        <v>221311102</v>
      </c>
      <c r="D561" t="s">
        <v>728</v>
      </c>
      <c r="E561" s="179"/>
      <c r="F561" s="179"/>
      <c r="G561" s="179">
        <v>-308151924.33999997</v>
      </c>
      <c r="H561" s="179"/>
      <c r="I561" s="179"/>
      <c r="J561" s="191">
        <v>-2353252.83</v>
      </c>
      <c r="K561" s="191">
        <v>-588974971.25999999</v>
      </c>
      <c r="L561" s="185">
        <v>10</v>
      </c>
      <c r="N561" s="192" t="s">
        <v>124</v>
      </c>
      <c r="O561" t="s">
        <v>727</v>
      </c>
      <c r="P561" s="197" t="s">
        <v>725</v>
      </c>
      <c r="Q561" s="197" t="s">
        <v>726</v>
      </c>
    </row>
    <row r="562" spans="2:17" ht="16.5" hidden="1" customHeight="1">
      <c r="B562" t="str">
        <f t="shared" si="23"/>
        <v>221611</v>
      </c>
      <c r="C562" s="179">
        <v>221611101</v>
      </c>
      <c r="D562" t="s">
        <v>729</v>
      </c>
      <c r="E562" s="179"/>
      <c r="F562" s="179">
        <v>-196229378.96000001</v>
      </c>
      <c r="G562" s="179">
        <v>0</v>
      </c>
      <c r="H562" s="179"/>
      <c r="I562" s="179"/>
      <c r="J562" s="191">
        <v>-179876931.96000001</v>
      </c>
      <c r="K562" s="191">
        <v>204591.93</v>
      </c>
      <c r="L562" s="185" t="s">
        <v>730</v>
      </c>
      <c r="N562" s="192" t="s">
        <v>124</v>
      </c>
      <c r="O562" t="s">
        <v>731</v>
      </c>
      <c r="P562" s="197" t="s">
        <v>725</v>
      </c>
      <c r="Q562" s="197" t="s">
        <v>732</v>
      </c>
    </row>
    <row r="563" spans="2:17" ht="16.5" hidden="1" customHeight="1">
      <c r="B563" t="str">
        <f t="shared" si="23"/>
        <v>221611</v>
      </c>
      <c r="C563" s="179">
        <v>221611102</v>
      </c>
      <c r="D563" t="s">
        <v>698</v>
      </c>
      <c r="E563" s="179"/>
      <c r="F563" s="179">
        <v>-197698271.09999999</v>
      </c>
      <c r="G563" s="179">
        <v>8552039.6500000004</v>
      </c>
      <c r="H563" s="179"/>
      <c r="I563" s="179"/>
      <c r="J563" s="191">
        <v>-194555718.72</v>
      </c>
      <c r="K563" s="191">
        <v>14588349.82</v>
      </c>
      <c r="L563" s="185" t="s">
        <v>733</v>
      </c>
      <c r="N563" s="192" t="s">
        <v>124</v>
      </c>
      <c r="O563" t="s">
        <v>731</v>
      </c>
      <c r="P563" s="197" t="s">
        <v>725</v>
      </c>
      <c r="Q563" s="197" t="s">
        <v>732</v>
      </c>
    </row>
    <row r="564" spans="2:17" ht="16.5" hidden="1" customHeight="1">
      <c r="B564" t="str">
        <f t="shared" si="23"/>
        <v>221611</v>
      </c>
      <c r="C564" s="179">
        <v>221611103</v>
      </c>
      <c r="D564" t="s">
        <v>701</v>
      </c>
      <c r="E564" s="179"/>
      <c r="F564" s="179"/>
      <c r="G564" s="179">
        <v>39391212.890000001</v>
      </c>
      <c r="H564" s="179"/>
      <c r="I564" s="179"/>
      <c r="J564" s="191">
        <v>-132566318.15000001</v>
      </c>
      <c r="K564" s="191">
        <v>67194823.390000001</v>
      </c>
      <c r="L564" s="185" t="s">
        <v>733</v>
      </c>
      <c r="N564" s="192" t="s">
        <v>124</v>
      </c>
      <c r="O564" t="s">
        <v>731</v>
      </c>
      <c r="P564" s="197" t="s">
        <v>725</v>
      </c>
      <c r="Q564" s="197" t="s">
        <v>732</v>
      </c>
    </row>
    <row r="565" spans="2:17" ht="16.5" hidden="1" customHeight="1">
      <c r="B565" t="str">
        <f t="shared" si="23"/>
        <v>221715</v>
      </c>
      <c r="C565" s="179">
        <v>221715001001</v>
      </c>
      <c r="D565" t="s">
        <v>734</v>
      </c>
      <c r="E565" s="179"/>
      <c r="F565" s="179">
        <v>-56047740.189999998</v>
      </c>
      <c r="G565" s="179">
        <v>17344.96</v>
      </c>
      <c r="H565" s="179"/>
      <c r="I565" s="179"/>
      <c r="J565" s="191">
        <v>0</v>
      </c>
      <c r="K565" s="191">
        <v>19176.080000000002</v>
      </c>
      <c r="L565" s="185" t="s">
        <v>733</v>
      </c>
      <c r="N565" s="192" t="s">
        <v>124</v>
      </c>
      <c r="O565" t="s">
        <v>735</v>
      </c>
      <c r="P565" s="197" t="s">
        <v>725</v>
      </c>
      <c r="Q565" s="197" t="s">
        <v>732</v>
      </c>
    </row>
    <row r="566" spans="2:17" ht="16.5" hidden="1" customHeight="1">
      <c r="B566" t="str">
        <f t="shared" si="23"/>
        <v>221716</v>
      </c>
      <c r="C566" s="179">
        <v>221716001001</v>
      </c>
      <c r="D566" t="s">
        <v>361</v>
      </c>
      <c r="E566" s="179"/>
      <c r="F566" s="179">
        <v>0</v>
      </c>
      <c r="G566" s="179">
        <v>79891.95</v>
      </c>
      <c r="H566" s="179"/>
      <c r="I566" s="179"/>
      <c r="J566" s="191">
        <v>0</v>
      </c>
      <c r="K566" s="191">
        <v>88326.17</v>
      </c>
      <c r="L566" s="185" t="s">
        <v>733</v>
      </c>
      <c r="N566" s="192" t="s">
        <v>124</v>
      </c>
      <c r="O566" t="s">
        <v>735</v>
      </c>
      <c r="P566" s="197" t="s">
        <v>725</v>
      </c>
      <c r="Q566" s="197" t="s">
        <v>226</v>
      </c>
    </row>
    <row r="567" spans="2:17" ht="16.5" hidden="1" customHeight="1">
      <c r="B567" t="str">
        <f t="shared" si="23"/>
        <v>221716</v>
      </c>
      <c r="C567" s="179">
        <v>221716001002</v>
      </c>
      <c r="D567" t="s">
        <v>736</v>
      </c>
      <c r="E567" s="179"/>
      <c r="F567" s="179">
        <v>0</v>
      </c>
      <c r="G567" s="179">
        <v>0</v>
      </c>
      <c r="H567" s="179"/>
      <c r="I567" s="179"/>
      <c r="J567" s="191">
        <v>0</v>
      </c>
      <c r="K567" s="191">
        <v>0</v>
      </c>
      <c r="L567" s="185" t="s">
        <v>733</v>
      </c>
      <c r="N567" s="192" t="s">
        <v>124</v>
      </c>
      <c r="O567" t="s">
        <v>735</v>
      </c>
      <c r="P567" s="197" t="s">
        <v>725</v>
      </c>
      <c r="Q567" s="197" t="s">
        <v>226</v>
      </c>
    </row>
    <row r="568" spans="2:17" ht="16.5" hidden="1" customHeight="1">
      <c r="B568" t="str">
        <f t="shared" si="23"/>
        <v>221917</v>
      </c>
      <c r="C568" s="179">
        <v>221917001001</v>
      </c>
      <c r="D568" t="s">
        <v>737</v>
      </c>
      <c r="E568" s="179"/>
      <c r="F568" s="179">
        <v>-681506.47</v>
      </c>
      <c r="G568" s="179">
        <v>2782243.49</v>
      </c>
      <c r="H568" s="179"/>
      <c r="I568" s="179"/>
      <c r="J568" s="191">
        <v>0</v>
      </c>
      <c r="K568" s="191">
        <v>4755378.63</v>
      </c>
      <c r="L568" s="185" t="s">
        <v>733</v>
      </c>
      <c r="N568" s="192" t="s">
        <v>124</v>
      </c>
      <c r="O568" t="s">
        <v>738</v>
      </c>
      <c r="P568" s="197" t="s">
        <v>725</v>
      </c>
      <c r="Q568" s="197" t="s">
        <v>226</v>
      </c>
    </row>
    <row r="569" spans="2:17" ht="16.5" hidden="1" customHeight="1">
      <c r="B569" t="str">
        <f t="shared" si="23"/>
        <v>221917</v>
      </c>
      <c r="C569" s="179">
        <v>221917501</v>
      </c>
      <c r="D569" t="s">
        <v>739</v>
      </c>
      <c r="E569" s="179"/>
      <c r="F569" s="179"/>
      <c r="G569" s="179">
        <v>1882292.83</v>
      </c>
      <c r="H569" s="179"/>
      <c r="I569" s="179"/>
      <c r="J569" s="191">
        <v>-2395386.5099999998</v>
      </c>
      <c r="K569" s="191">
        <v>3197716.25</v>
      </c>
      <c r="L569" s="185" t="s">
        <v>733</v>
      </c>
      <c r="N569" s="192" t="s">
        <v>124</v>
      </c>
      <c r="O569" t="s">
        <v>738</v>
      </c>
      <c r="P569" s="197" t="s">
        <v>725</v>
      </c>
      <c r="Q569" s="197" t="s">
        <v>226</v>
      </c>
    </row>
    <row r="570" spans="2:17" ht="16.5" hidden="1" customHeight="1">
      <c r="B570" t="str">
        <f t="shared" si="23"/>
        <v>221919</v>
      </c>
      <c r="C570" s="179">
        <v>221919101</v>
      </c>
      <c r="D570" t="s">
        <v>740</v>
      </c>
      <c r="E570" s="179"/>
      <c r="F570" s="179"/>
      <c r="G570" s="179">
        <v>0</v>
      </c>
      <c r="H570" s="179"/>
      <c r="I570" s="179"/>
      <c r="J570" s="191">
        <v>-738371.86</v>
      </c>
      <c r="K570" s="191">
        <v>0</v>
      </c>
      <c r="L570" s="185">
        <v>40</v>
      </c>
      <c r="N570" s="192" t="s">
        <v>124</v>
      </c>
      <c r="O570" t="s">
        <v>738</v>
      </c>
      <c r="P570" t="s">
        <v>741</v>
      </c>
      <c r="Q570" s="197" t="s">
        <v>742</v>
      </c>
    </row>
    <row r="571" spans="2:17" ht="16.5" hidden="1" customHeight="1">
      <c r="B571" t="str">
        <f t="shared" si="23"/>
        <v>241010</v>
      </c>
      <c r="C571" s="179">
        <v>241010001</v>
      </c>
      <c r="D571" t="s">
        <v>361</v>
      </c>
      <c r="E571" s="179"/>
      <c r="F571" s="179">
        <v>-27995385</v>
      </c>
      <c r="G571" s="179">
        <v>380889.29</v>
      </c>
      <c r="H571" s="179"/>
      <c r="I571" s="179"/>
      <c r="J571" s="191">
        <v>0</v>
      </c>
      <c r="K571" s="191">
        <v>686002.95</v>
      </c>
      <c r="L571" s="185">
        <v>20</v>
      </c>
      <c r="N571" s="192" t="s">
        <v>124</v>
      </c>
      <c r="O571" t="s">
        <v>743</v>
      </c>
      <c r="P571" t="s">
        <v>741</v>
      </c>
      <c r="Q571" t="s">
        <v>744</v>
      </c>
    </row>
    <row r="572" spans="2:17" ht="16.5" hidden="1" customHeight="1">
      <c r="B572" t="str">
        <f t="shared" si="23"/>
        <v>241010</v>
      </c>
      <c r="C572" s="179">
        <v>241010002</v>
      </c>
      <c r="D572" t="s">
        <v>745</v>
      </c>
      <c r="E572" s="179"/>
      <c r="F572" s="179">
        <v>-111981540</v>
      </c>
      <c r="G572" s="179">
        <v>22051.919999999998</v>
      </c>
      <c r="H572" s="179"/>
      <c r="I572" s="179"/>
      <c r="J572" s="191">
        <v>0</v>
      </c>
      <c r="K572" s="191">
        <v>49405.48</v>
      </c>
      <c r="L572" s="185">
        <v>20</v>
      </c>
      <c r="N572" s="192" t="s">
        <v>124</v>
      </c>
      <c r="O572" t="s">
        <v>743</v>
      </c>
      <c r="P572" t="s">
        <v>741</v>
      </c>
      <c r="Q572" t="s">
        <v>744</v>
      </c>
    </row>
    <row r="573" spans="2:17" ht="16.5" hidden="1" customHeight="1">
      <c r="B573" t="str">
        <f t="shared" si="23"/>
        <v>241011</v>
      </c>
      <c r="C573" s="179">
        <v>241011101</v>
      </c>
      <c r="D573" t="s">
        <v>694</v>
      </c>
      <c r="E573" s="179"/>
      <c r="F573" s="179"/>
      <c r="G573" s="179">
        <v>10916.3</v>
      </c>
      <c r="H573" s="179"/>
      <c r="I573" s="179"/>
      <c r="J573" s="191">
        <v>-27995385</v>
      </c>
      <c r="K573" s="191">
        <v>15277.26</v>
      </c>
      <c r="L573" s="185">
        <v>20</v>
      </c>
      <c r="N573" s="192" t="s">
        <v>124</v>
      </c>
      <c r="O573" t="s">
        <v>743</v>
      </c>
      <c r="P573" t="s">
        <v>741</v>
      </c>
      <c r="Q573" t="s">
        <v>744</v>
      </c>
    </row>
    <row r="574" spans="2:17" ht="16.5" hidden="1" customHeight="1">
      <c r="B574" t="str">
        <f t="shared" si="23"/>
        <v>241011</v>
      </c>
      <c r="C574" s="179">
        <v>241011103</v>
      </c>
      <c r="D574" t="s">
        <v>693</v>
      </c>
      <c r="E574" s="179"/>
      <c r="F574" s="179"/>
      <c r="G574" s="179">
        <v>14378.9</v>
      </c>
      <c r="H574" s="179"/>
      <c r="I574" s="179"/>
      <c r="J574" s="191">
        <v>-111981540</v>
      </c>
      <c r="K574" s="191">
        <v>31577.9</v>
      </c>
      <c r="L574" s="185">
        <v>20</v>
      </c>
      <c r="N574" s="192" t="s">
        <v>124</v>
      </c>
      <c r="O574" t="s">
        <v>743</v>
      </c>
      <c r="P574" t="s">
        <v>741</v>
      </c>
      <c r="Q574" t="s">
        <v>744</v>
      </c>
    </row>
    <row r="575" spans="2:17" ht="16.5" hidden="1" customHeight="1">
      <c r="B575" t="str">
        <f t="shared" si="23"/>
        <v>241521</v>
      </c>
      <c r="C575" s="179">
        <v>241521001</v>
      </c>
      <c r="D575" t="s">
        <v>746</v>
      </c>
      <c r="E575" s="179"/>
      <c r="F575" s="179">
        <v>0</v>
      </c>
      <c r="G575" s="179">
        <v>28347.69</v>
      </c>
      <c r="H575" s="179"/>
      <c r="I575" s="179"/>
      <c r="J575" s="191">
        <v>0</v>
      </c>
      <c r="K575" s="191">
        <v>72628.75</v>
      </c>
      <c r="L575" s="185">
        <v>20</v>
      </c>
      <c r="N575" s="192" t="s">
        <v>124</v>
      </c>
      <c r="O575" t="s">
        <v>743</v>
      </c>
      <c r="P575" t="s">
        <v>741</v>
      </c>
      <c r="Q575" t="s">
        <v>744</v>
      </c>
    </row>
    <row r="576" spans="2:17" ht="16.5" hidden="1" customHeight="1">
      <c r="B576" t="str">
        <f t="shared" si="23"/>
        <v>244011</v>
      </c>
      <c r="C576" s="179">
        <v>244011001</v>
      </c>
      <c r="D576" t="s">
        <v>747</v>
      </c>
      <c r="E576" s="179"/>
      <c r="F576" s="179"/>
      <c r="G576" s="179">
        <v>96981.15</v>
      </c>
      <c r="H576" s="179"/>
      <c r="I576" s="179"/>
      <c r="J576" s="191">
        <v>-4225417.63</v>
      </c>
      <c r="K576" s="191">
        <v>162973</v>
      </c>
      <c r="L576" s="185">
        <v>20</v>
      </c>
      <c r="N576" s="192" t="s">
        <v>124</v>
      </c>
      <c r="O576" t="s">
        <v>748</v>
      </c>
      <c r="P576" t="s">
        <v>741</v>
      </c>
      <c r="Q576" t="s">
        <v>744</v>
      </c>
    </row>
    <row r="577" spans="2:17" ht="16.5" hidden="1" customHeight="1">
      <c r="B577" t="str">
        <f t="shared" si="23"/>
        <v>244011</v>
      </c>
      <c r="C577" s="179">
        <v>244011002</v>
      </c>
      <c r="D577" t="s">
        <v>747</v>
      </c>
      <c r="E577" s="179"/>
      <c r="F577" s="179"/>
      <c r="G577" s="179">
        <v>16688.28</v>
      </c>
      <c r="H577" s="179"/>
      <c r="I577" s="179"/>
      <c r="J577" s="191">
        <v>-350176.53</v>
      </c>
      <c r="K577" s="191">
        <v>40092.04</v>
      </c>
      <c r="L577" s="185">
        <v>20</v>
      </c>
      <c r="N577" s="192" t="s">
        <v>124</v>
      </c>
      <c r="O577" t="s">
        <v>748</v>
      </c>
      <c r="P577" t="s">
        <v>741</v>
      </c>
      <c r="Q577" t="s">
        <v>744</v>
      </c>
    </row>
    <row r="578" spans="2:17" ht="16.5" hidden="1" customHeight="1">
      <c r="B578" t="str">
        <f t="shared" si="23"/>
        <v>248010</v>
      </c>
      <c r="C578" s="179">
        <v>24801002</v>
      </c>
      <c r="D578" t="s">
        <v>749</v>
      </c>
      <c r="E578" s="179"/>
      <c r="F578" s="179"/>
      <c r="G578" s="179">
        <v>88527.58</v>
      </c>
      <c r="H578" s="179"/>
      <c r="I578" s="179"/>
      <c r="J578" s="191">
        <v>0</v>
      </c>
      <c r="K578" s="191">
        <v>151906.48000000001</v>
      </c>
      <c r="L578" s="185">
        <v>20</v>
      </c>
      <c r="N578" s="192" t="s">
        <v>124</v>
      </c>
      <c r="O578" t="s">
        <v>748</v>
      </c>
      <c r="P578" t="s">
        <v>741</v>
      </c>
      <c r="Q578" t="s">
        <v>744</v>
      </c>
    </row>
    <row r="579" spans="2:17" ht="16.5" hidden="1" customHeight="1">
      <c r="B579" t="str">
        <f t="shared" si="23"/>
        <v>248010</v>
      </c>
      <c r="C579" s="179">
        <v>24801001</v>
      </c>
      <c r="D579" t="s">
        <v>750</v>
      </c>
      <c r="E579" s="179"/>
      <c r="F579" s="179"/>
      <c r="G579" s="179">
        <v>5494.66</v>
      </c>
      <c r="H579" s="179"/>
      <c r="I579" s="179"/>
      <c r="J579" s="191">
        <v>0</v>
      </c>
      <c r="K579" s="191">
        <v>12009.48</v>
      </c>
      <c r="L579" s="185">
        <v>20</v>
      </c>
      <c r="N579" s="192" t="s">
        <v>124</v>
      </c>
      <c r="O579" t="s">
        <v>192</v>
      </c>
      <c r="P579" t="s">
        <v>741</v>
      </c>
      <c r="Q579" t="s">
        <v>744</v>
      </c>
    </row>
    <row r="580" spans="2:17" ht="16.5" hidden="1" customHeight="1">
      <c r="B580" t="str">
        <f t="shared" si="23"/>
        <v>244311</v>
      </c>
      <c r="C580" s="179">
        <v>244311001</v>
      </c>
      <c r="D580" t="s">
        <v>751</v>
      </c>
      <c r="E580" s="179"/>
      <c r="F580" s="179"/>
      <c r="G580" s="179">
        <v>4996.2299999999996</v>
      </c>
      <c r="H580" s="179"/>
      <c r="I580" s="179"/>
      <c r="J580" s="191">
        <v>-55065515.119999997</v>
      </c>
      <c r="K580" s="191">
        <v>8627.17</v>
      </c>
      <c r="L580" s="185">
        <v>20</v>
      </c>
      <c r="N580" s="192" t="s">
        <v>124</v>
      </c>
      <c r="O580" t="s">
        <v>192</v>
      </c>
      <c r="P580" t="s">
        <v>741</v>
      </c>
      <c r="Q580" t="s">
        <v>744</v>
      </c>
    </row>
    <row r="581" spans="2:17" ht="16.5" hidden="1" customHeight="1">
      <c r="B581" t="str">
        <f t="shared" si="23"/>
        <v>244311</v>
      </c>
      <c r="C581" s="179">
        <v>244311002</v>
      </c>
      <c r="D581" t="s">
        <v>751</v>
      </c>
      <c r="E581" s="179"/>
      <c r="F581" s="179"/>
      <c r="G581" s="179">
        <v>811.97</v>
      </c>
      <c r="H581" s="179"/>
      <c r="I581" s="179"/>
      <c r="J581" s="191">
        <v>-4990015.53</v>
      </c>
      <c r="K581" s="191">
        <v>2787.69</v>
      </c>
      <c r="L581" s="185">
        <v>20</v>
      </c>
      <c r="N581" s="192" t="s">
        <v>124</v>
      </c>
      <c r="O581" t="s">
        <v>192</v>
      </c>
      <c r="P581" t="s">
        <v>741</v>
      </c>
      <c r="Q581" t="s">
        <v>744</v>
      </c>
    </row>
    <row r="582" spans="2:17" ht="16.5" hidden="1" customHeight="1">
      <c r="B582" t="str">
        <f t="shared" si="23"/>
        <v>248510</v>
      </c>
      <c r="C582" s="179">
        <v>248510001</v>
      </c>
      <c r="D582" t="s">
        <v>752</v>
      </c>
      <c r="E582" s="179"/>
      <c r="F582" s="179">
        <v>34945072.939999998</v>
      </c>
      <c r="G582" s="179">
        <v>21965.35</v>
      </c>
      <c r="H582" s="179"/>
      <c r="I582" s="179"/>
      <c r="J582" s="191">
        <v>0</v>
      </c>
      <c r="K582" s="191">
        <v>39558.18</v>
      </c>
      <c r="L582" s="185">
        <v>20</v>
      </c>
      <c r="N582" s="192" t="s">
        <v>124</v>
      </c>
      <c r="O582" t="s">
        <v>192</v>
      </c>
      <c r="P582" t="s">
        <v>741</v>
      </c>
      <c r="Q582" t="s">
        <v>744</v>
      </c>
    </row>
    <row r="583" spans="2:17" ht="16.5" hidden="1" customHeight="1">
      <c r="B583" t="str">
        <f t="shared" si="23"/>
        <v>611011</v>
      </c>
      <c r="C583" s="179">
        <v>611011102</v>
      </c>
      <c r="D583" t="s">
        <v>753</v>
      </c>
      <c r="E583" s="179"/>
      <c r="F583" s="179">
        <v>-183144640.36000001</v>
      </c>
      <c r="G583" s="179">
        <v>7082.17</v>
      </c>
      <c r="H583" s="179"/>
      <c r="I583" s="179"/>
      <c r="J583" s="191">
        <v>0</v>
      </c>
      <c r="K583" s="191">
        <v>11969.07</v>
      </c>
      <c r="L583" s="185">
        <v>20</v>
      </c>
      <c r="N583" s="192" t="s">
        <v>124</v>
      </c>
      <c r="O583" t="s">
        <v>7</v>
      </c>
      <c r="P583" t="s">
        <v>741</v>
      </c>
      <c r="Q583" t="s">
        <v>744</v>
      </c>
    </row>
    <row r="584" spans="2:17" ht="16.5" hidden="1" customHeight="1">
      <c r="B584" t="str">
        <f t="shared" si="23"/>
        <v>611011</v>
      </c>
      <c r="C584" s="179">
        <v>61101110201</v>
      </c>
      <c r="D584" t="s">
        <v>754</v>
      </c>
      <c r="E584" s="179"/>
      <c r="F584" s="179"/>
      <c r="G584" s="179">
        <v>1830.37</v>
      </c>
      <c r="H584" s="179"/>
      <c r="I584" s="179"/>
      <c r="J584" s="191">
        <v>-22815609.140000001</v>
      </c>
      <c r="K584" s="191">
        <v>1830.37</v>
      </c>
      <c r="L584" s="185">
        <v>20</v>
      </c>
      <c r="N584" s="192" t="s">
        <v>124</v>
      </c>
      <c r="O584" t="s">
        <v>7</v>
      </c>
      <c r="P584" t="s">
        <v>741</v>
      </c>
      <c r="Q584" t="s">
        <v>744</v>
      </c>
    </row>
    <row r="585" spans="2:17" ht="16.5" hidden="1" customHeight="1">
      <c r="B585" t="str">
        <f t="shared" si="23"/>
        <v>611011</v>
      </c>
      <c r="C585" s="179">
        <v>61101110202</v>
      </c>
      <c r="D585" t="s">
        <v>755</v>
      </c>
      <c r="E585" s="179"/>
      <c r="F585" s="179"/>
      <c r="G585" s="179">
        <v>0</v>
      </c>
      <c r="H585" s="179"/>
      <c r="I585" s="179"/>
      <c r="J585" s="191">
        <v>-170999301.30000001</v>
      </c>
      <c r="K585" s="191">
        <v>0</v>
      </c>
      <c r="L585" s="185">
        <v>20</v>
      </c>
      <c r="N585" s="192" t="s">
        <v>124</v>
      </c>
      <c r="O585" t="s">
        <v>7</v>
      </c>
      <c r="P585" t="s">
        <v>741</v>
      </c>
      <c r="Q585" t="s">
        <v>744</v>
      </c>
    </row>
    <row r="586" spans="2:17" ht="16.5" hidden="1" customHeight="1">
      <c r="B586" t="str">
        <f t="shared" si="23"/>
        <v>611011</v>
      </c>
      <c r="C586" s="179">
        <v>61101110203</v>
      </c>
      <c r="D586" t="s">
        <v>756</v>
      </c>
      <c r="E586" s="179"/>
      <c r="F586" s="179"/>
      <c r="G586" s="179">
        <v>0</v>
      </c>
      <c r="H586" s="179"/>
      <c r="I586" s="179"/>
      <c r="J586" s="191">
        <v>-91667878.120000005</v>
      </c>
      <c r="K586" s="191">
        <v>0</v>
      </c>
      <c r="L586" s="185">
        <v>20</v>
      </c>
      <c r="N586" s="192" t="s">
        <v>124</v>
      </c>
      <c r="O586" t="s">
        <v>7</v>
      </c>
      <c r="P586" t="s">
        <v>741</v>
      </c>
      <c r="Q586" t="s">
        <v>744</v>
      </c>
    </row>
    <row r="587" spans="2:17" ht="16.5" hidden="1" customHeight="1">
      <c r="B587" t="str">
        <f t="shared" si="23"/>
        <v>611011</v>
      </c>
      <c r="C587" s="179">
        <v>61101110204</v>
      </c>
      <c r="D587" t="s">
        <v>757</v>
      </c>
      <c r="E587" s="179"/>
      <c r="F587" s="179"/>
      <c r="G587" s="179">
        <v>0</v>
      </c>
      <c r="H587" s="179"/>
      <c r="I587" s="179"/>
      <c r="J587" s="191">
        <v>-680433780.59000003</v>
      </c>
      <c r="K587" s="191">
        <v>0</v>
      </c>
      <c r="L587" s="185">
        <v>20</v>
      </c>
      <c r="N587" s="192" t="s">
        <v>124</v>
      </c>
      <c r="O587" t="s">
        <v>7</v>
      </c>
      <c r="P587" t="s">
        <v>741</v>
      </c>
      <c r="Q587" t="s">
        <v>744</v>
      </c>
    </row>
    <row r="588" spans="2:17" ht="16.5" hidden="1" customHeight="1">
      <c r="B588" t="str">
        <f t="shared" ref="B588:B619" si="24">LEFT(C588,6)</f>
        <v>611011</v>
      </c>
      <c r="C588" s="179">
        <v>61101110205</v>
      </c>
      <c r="D588" t="s">
        <v>758</v>
      </c>
      <c r="E588" s="179"/>
      <c r="F588" s="179"/>
      <c r="G588" s="179">
        <v>0</v>
      </c>
      <c r="H588" s="179"/>
      <c r="I588" s="179"/>
      <c r="J588" s="191">
        <v>204591.73</v>
      </c>
      <c r="K588" s="191">
        <v>0</v>
      </c>
      <c r="L588" s="185">
        <v>20</v>
      </c>
      <c r="N588" s="192" t="s">
        <v>124</v>
      </c>
      <c r="O588" t="s">
        <v>759</v>
      </c>
      <c r="P588" t="s">
        <v>741</v>
      </c>
      <c r="Q588" s="197" t="s">
        <v>760</v>
      </c>
    </row>
    <row r="589" spans="2:17" ht="16.5" hidden="1" customHeight="1">
      <c r="B589" t="str">
        <f t="shared" si="24"/>
        <v>611016</v>
      </c>
      <c r="C589" s="179">
        <v>611016121001</v>
      </c>
      <c r="D589" t="s">
        <v>761</v>
      </c>
      <c r="E589" s="179"/>
      <c r="F589" s="179">
        <v>3013193.12</v>
      </c>
      <c r="G589" s="179">
        <v>130.36000000000001</v>
      </c>
      <c r="H589" s="179"/>
      <c r="I589" s="179"/>
      <c r="J589" s="191">
        <v>15936744.699999999</v>
      </c>
      <c r="K589" s="191">
        <v>913.53</v>
      </c>
      <c r="L589" s="185">
        <v>20</v>
      </c>
      <c r="N589" s="192" t="s">
        <v>124</v>
      </c>
      <c r="O589" t="s">
        <v>759</v>
      </c>
      <c r="P589" t="s">
        <v>741</v>
      </c>
      <c r="Q589" s="197" t="s">
        <v>760</v>
      </c>
    </row>
    <row r="590" spans="2:17" ht="16.5" hidden="1" customHeight="1">
      <c r="B590" t="str">
        <f t="shared" si="24"/>
        <v>611016</v>
      </c>
      <c r="C590" s="179">
        <v>611016121002</v>
      </c>
      <c r="D590" t="s">
        <v>762</v>
      </c>
      <c r="E590" s="179"/>
      <c r="F590" s="179">
        <v>13878950.26</v>
      </c>
      <c r="G590" s="179">
        <v>2721.73</v>
      </c>
      <c r="H590" s="179"/>
      <c r="I590" s="179"/>
      <c r="J590" s="191">
        <v>73405611.939999998</v>
      </c>
      <c r="K590" s="191">
        <v>71623.649999999994</v>
      </c>
      <c r="L590" s="185">
        <v>20</v>
      </c>
      <c r="N590" s="192" t="s">
        <v>124</v>
      </c>
      <c r="O590" t="s">
        <v>759</v>
      </c>
      <c r="P590" t="s">
        <v>741</v>
      </c>
      <c r="Q590" s="197" t="s">
        <v>760</v>
      </c>
    </row>
    <row r="591" spans="2:17" ht="16.5" hidden="1" customHeight="1">
      <c r="B591" t="str">
        <f t="shared" si="24"/>
        <v>611016</v>
      </c>
      <c r="C591" s="179">
        <v>611016121003</v>
      </c>
      <c r="D591" t="s">
        <v>763</v>
      </c>
      <c r="E591" s="179"/>
      <c r="F591" s="179"/>
      <c r="G591" s="179">
        <v>5631.52</v>
      </c>
      <c r="H591" s="179"/>
      <c r="I591" s="179"/>
      <c r="J591" s="191">
        <v>0</v>
      </c>
      <c r="K591" s="191">
        <v>42238.92</v>
      </c>
      <c r="L591" s="185">
        <v>20</v>
      </c>
      <c r="N591" s="192" t="s">
        <v>124</v>
      </c>
      <c r="O591" t="s">
        <v>759</v>
      </c>
      <c r="P591" t="s">
        <v>741</v>
      </c>
      <c r="Q591" s="197" t="s">
        <v>760</v>
      </c>
    </row>
    <row r="592" spans="2:17" ht="16.5" hidden="1" customHeight="1">
      <c r="B592" t="str">
        <f t="shared" si="24"/>
        <v>611016</v>
      </c>
      <c r="C592" s="179">
        <v>611016121004</v>
      </c>
      <c r="D592" t="s">
        <v>764</v>
      </c>
      <c r="E592" s="179"/>
      <c r="F592" s="179"/>
      <c r="G592" s="179">
        <v>0</v>
      </c>
      <c r="H592" s="179"/>
      <c r="I592" s="179"/>
      <c r="J592" s="191">
        <v>0</v>
      </c>
      <c r="K592" s="191">
        <v>0</v>
      </c>
      <c r="L592" s="185">
        <v>20</v>
      </c>
      <c r="N592" s="192" t="s">
        <v>124</v>
      </c>
      <c r="O592" t="s">
        <v>759</v>
      </c>
      <c r="P592" t="s">
        <v>741</v>
      </c>
      <c r="Q592" s="197" t="s">
        <v>760</v>
      </c>
    </row>
    <row r="593" spans="2:17" ht="16.5" hidden="1" customHeight="1">
      <c r="B593" t="str">
        <f t="shared" si="24"/>
        <v>611017</v>
      </c>
      <c r="C593" s="179">
        <v>611017135</v>
      </c>
      <c r="D593" t="s">
        <v>765</v>
      </c>
      <c r="E593" s="179"/>
      <c r="F593" s="179">
        <v>1654539.42</v>
      </c>
      <c r="G593" s="179">
        <v>213512.54</v>
      </c>
      <c r="H593" s="179"/>
      <c r="I593" s="179"/>
      <c r="J593" s="191">
        <v>0</v>
      </c>
      <c r="K593" s="191">
        <v>344148.32</v>
      </c>
      <c r="L593" s="185">
        <v>20</v>
      </c>
      <c r="N593" s="192" t="s">
        <v>124</v>
      </c>
      <c r="O593" t="s">
        <v>759</v>
      </c>
      <c r="P593" t="s">
        <v>741</v>
      </c>
      <c r="Q593" s="197" t="s">
        <v>760</v>
      </c>
    </row>
    <row r="594" spans="2:17" ht="16.5" hidden="1" customHeight="1">
      <c r="B594" t="str">
        <f t="shared" si="24"/>
        <v>611017</v>
      </c>
      <c r="C594" s="179">
        <v>61101713501</v>
      </c>
      <c r="D594" t="s">
        <v>766</v>
      </c>
      <c r="E594" s="179"/>
      <c r="F594" s="179"/>
      <c r="G594" s="179">
        <v>352621309.27999997</v>
      </c>
      <c r="H594" s="179"/>
      <c r="I594" s="179"/>
      <c r="J594" s="191">
        <v>5189677.84</v>
      </c>
      <c r="K594" s="191">
        <v>596623875.39999998</v>
      </c>
      <c r="L594" s="185">
        <v>20</v>
      </c>
      <c r="N594" s="192" t="s">
        <v>124</v>
      </c>
      <c r="O594" t="s">
        <v>759</v>
      </c>
      <c r="P594" t="s">
        <v>741</v>
      </c>
      <c r="Q594" s="197" t="s">
        <v>767</v>
      </c>
    </row>
    <row r="595" spans="2:17" ht="16.5" hidden="1" customHeight="1">
      <c r="B595" t="str">
        <f t="shared" si="24"/>
        <v>611017</v>
      </c>
      <c r="C595" s="179">
        <v>61101713502</v>
      </c>
      <c r="D595" t="s">
        <v>768</v>
      </c>
      <c r="E595" s="179"/>
      <c r="F595" s="179"/>
      <c r="G595" s="179">
        <v>6779065.4400000004</v>
      </c>
      <c r="H595" s="179"/>
      <c r="I595" s="179"/>
      <c r="J595" s="191">
        <v>3487249.06</v>
      </c>
      <c r="K595" s="191">
        <v>11484213.699999999</v>
      </c>
      <c r="L595" s="185">
        <v>20</v>
      </c>
      <c r="N595" s="192" t="s">
        <v>124</v>
      </c>
      <c r="O595" t="s">
        <v>759</v>
      </c>
      <c r="P595" t="s">
        <v>741</v>
      </c>
      <c r="Q595" s="197" t="s">
        <v>769</v>
      </c>
    </row>
    <row r="596" spans="2:17" ht="16.5" hidden="1" customHeight="1">
      <c r="B596" t="str">
        <f t="shared" si="24"/>
        <v>611061</v>
      </c>
      <c r="C596" s="179">
        <v>611061901001</v>
      </c>
      <c r="D596" t="s">
        <v>770</v>
      </c>
      <c r="E596" s="179"/>
      <c r="F596" s="179">
        <v>-1461106.02</v>
      </c>
      <c r="G596" s="179">
        <v>133325.96</v>
      </c>
      <c r="H596" s="179"/>
      <c r="I596" s="179"/>
      <c r="J596" s="191">
        <v>0</v>
      </c>
      <c r="K596" s="191">
        <v>322076.84999999998</v>
      </c>
      <c r="L596" s="185">
        <v>20</v>
      </c>
      <c r="N596" s="192" t="s">
        <v>124</v>
      </c>
      <c r="O596" t="s">
        <v>771</v>
      </c>
      <c r="P596" t="s">
        <v>741</v>
      </c>
      <c r="Q596" s="197" t="s">
        <v>769</v>
      </c>
    </row>
    <row r="597" spans="2:17" ht="16.5" hidden="1" customHeight="1">
      <c r="B597" t="str">
        <f t="shared" si="24"/>
        <v>615011</v>
      </c>
      <c r="C597" s="179">
        <v>615011101001</v>
      </c>
      <c r="D597" t="s">
        <v>772</v>
      </c>
      <c r="E597" s="179"/>
      <c r="F597" s="179">
        <v>687984.52</v>
      </c>
      <c r="G597" s="179">
        <v>8000</v>
      </c>
      <c r="H597" s="179"/>
      <c r="I597" s="179"/>
      <c r="J597" s="191">
        <v>751635.03</v>
      </c>
      <c r="K597" s="191">
        <v>15702.25</v>
      </c>
      <c r="L597" s="185">
        <v>20</v>
      </c>
      <c r="N597" s="192" t="s">
        <v>124</v>
      </c>
      <c r="O597" t="s">
        <v>773</v>
      </c>
      <c r="P597" t="s">
        <v>741</v>
      </c>
      <c r="Q597" s="197" t="s">
        <v>769</v>
      </c>
    </row>
    <row r="598" spans="2:17" ht="16.5" hidden="1" customHeight="1">
      <c r="B598" t="str">
        <f t="shared" si="24"/>
        <v>615011</v>
      </c>
      <c r="C598" s="179">
        <v>615011101004</v>
      </c>
      <c r="D598" t="s">
        <v>774</v>
      </c>
      <c r="E598" s="179"/>
      <c r="F598" s="179">
        <v>48336.9</v>
      </c>
      <c r="G598" s="179">
        <v>0</v>
      </c>
      <c r="H598" s="179"/>
      <c r="I598" s="179"/>
      <c r="J598" s="191">
        <v>54018.29</v>
      </c>
      <c r="K598" s="191">
        <v>10209.57</v>
      </c>
      <c r="L598" s="185">
        <v>20</v>
      </c>
      <c r="N598" s="192" t="s">
        <v>124</v>
      </c>
      <c r="O598" t="s">
        <v>773</v>
      </c>
      <c r="P598" t="s">
        <v>741</v>
      </c>
      <c r="Q598" s="197" t="s">
        <v>769</v>
      </c>
    </row>
    <row r="599" spans="2:17" ht="16.5" hidden="1" customHeight="1">
      <c r="B599" t="str">
        <f t="shared" si="24"/>
        <v>615011</v>
      </c>
      <c r="C599" s="179">
        <v>615011101005</v>
      </c>
      <c r="D599" t="s">
        <v>775</v>
      </c>
      <c r="E599" s="179"/>
      <c r="F599" s="179">
        <v>3270.12</v>
      </c>
      <c r="G599" s="179">
        <v>0</v>
      </c>
      <c r="H599" s="179"/>
      <c r="I599" s="179"/>
      <c r="J599" s="191">
        <v>15277.26</v>
      </c>
      <c r="K599" s="191">
        <v>0</v>
      </c>
      <c r="L599" s="185">
        <v>20</v>
      </c>
      <c r="N599" s="192" t="s">
        <v>124</v>
      </c>
      <c r="O599" t="s">
        <v>773</v>
      </c>
      <c r="P599" t="s">
        <v>741</v>
      </c>
      <c r="Q599" s="197" t="s">
        <v>769</v>
      </c>
    </row>
    <row r="600" spans="2:17" ht="16.5" hidden="1" customHeight="1">
      <c r="B600" t="str">
        <f t="shared" si="24"/>
        <v>615011</v>
      </c>
      <c r="C600" s="179">
        <v>615011101006</v>
      </c>
      <c r="D600" t="s">
        <v>776</v>
      </c>
      <c r="E600" s="179"/>
      <c r="F600" s="179">
        <v>21759.040000000001</v>
      </c>
      <c r="G600" s="179">
        <v>92046.28</v>
      </c>
      <c r="H600" s="179"/>
      <c r="I600" s="179"/>
      <c r="J600" s="191">
        <v>34121.9</v>
      </c>
      <c r="K600" s="191">
        <v>106946.27</v>
      </c>
      <c r="L600" s="185">
        <v>20</v>
      </c>
      <c r="N600" s="192" t="s">
        <v>124</v>
      </c>
      <c r="O600" t="s">
        <v>773</v>
      </c>
      <c r="P600" t="s">
        <v>741</v>
      </c>
      <c r="Q600" s="197" t="s">
        <v>769</v>
      </c>
    </row>
    <row r="601" spans="2:17" ht="16.5" hidden="1" customHeight="1">
      <c r="B601" t="str">
        <f t="shared" si="24"/>
        <v>615011</v>
      </c>
      <c r="C601" s="179">
        <v>615011101007</v>
      </c>
      <c r="D601" t="s">
        <v>777</v>
      </c>
      <c r="E601" s="179"/>
      <c r="F601" s="179">
        <v>65536.58</v>
      </c>
      <c r="G601" s="179">
        <v>166501.70000000001</v>
      </c>
      <c r="H601" s="179"/>
      <c r="I601" s="179"/>
      <c r="J601" s="191">
        <v>79013.38</v>
      </c>
      <c r="K601" s="191">
        <v>421213.53</v>
      </c>
      <c r="L601" s="185">
        <v>20</v>
      </c>
      <c r="N601" s="192" t="s">
        <v>124</v>
      </c>
      <c r="O601" t="s">
        <v>773</v>
      </c>
      <c r="P601" t="s">
        <v>741</v>
      </c>
      <c r="Q601" s="197" t="s">
        <v>769</v>
      </c>
    </row>
    <row r="602" spans="2:17" ht="16.5" hidden="1" customHeight="1">
      <c r="B602" t="str">
        <f t="shared" si="24"/>
        <v>615011</v>
      </c>
      <c r="C602" s="179">
        <v>615011101008</v>
      </c>
      <c r="D602" t="s">
        <v>778</v>
      </c>
      <c r="E602" s="179"/>
      <c r="F602" s="179">
        <v>232390.81</v>
      </c>
      <c r="G602" s="179">
        <v>181617.48</v>
      </c>
      <c r="H602" s="179"/>
      <c r="I602" s="179"/>
      <c r="J602" s="191">
        <v>182306.97</v>
      </c>
      <c r="K602" s="191">
        <v>187371.6</v>
      </c>
      <c r="L602" s="185">
        <v>20</v>
      </c>
      <c r="N602" s="192" t="s">
        <v>124</v>
      </c>
      <c r="O602" t="s">
        <v>773</v>
      </c>
      <c r="P602" t="s">
        <v>741</v>
      </c>
      <c r="Q602" s="197" t="s">
        <v>769</v>
      </c>
    </row>
    <row r="603" spans="2:17" ht="16.5" hidden="1" customHeight="1">
      <c r="B603" t="str">
        <f t="shared" si="24"/>
        <v>615011</v>
      </c>
      <c r="C603" s="179">
        <v>615011101009</v>
      </c>
      <c r="D603" t="s">
        <v>779</v>
      </c>
      <c r="E603" s="179"/>
      <c r="F603" s="179">
        <v>70663.899999999994</v>
      </c>
      <c r="G603" s="179">
        <v>660</v>
      </c>
      <c r="H603" s="179"/>
      <c r="I603" s="179"/>
      <c r="J603" s="191">
        <v>40092.04</v>
      </c>
      <c r="K603" s="191">
        <v>5220</v>
      </c>
      <c r="L603" s="185">
        <v>20</v>
      </c>
      <c r="N603" s="192" t="s">
        <v>124</v>
      </c>
      <c r="O603" t="s">
        <v>773</v>
      </c>
      <c r="P603" t="s">
        <v>741</v>
      </c>
      <c r="Q603" s="197" t="s">
        <v>769</v>
      </c>
    </row>
    <row r="604" spans="2:17" ht="16.5" hidden="1" customHeight="1">
      <c r="B604" t="str">
        <f t="shared" si="24"/>
        <v>615011</v>
      </c>
      <c r="C604" s="179">
        <v>615011101010</v>
      </c>
      <c r="D604" t="s">
        <v>780</v>
      </c>
      <c r="E604" s="179"/>
      <c r="F604" s="179">
        <v>74880.02</v>
      </c>
      <c r="G604" s="179">
        <v>0</v>
      </c>
      <c r="H604" s="179"/>
      <c r="I604" s="179"/>
      <c r="J604" s="191">
        <v>164858.57</v>
      </c>
      <c r="K604" s="191">
        <v>123814.66</v>
      </c>
      <c r="L604" s="185">
        <v>20</v>
      </c>
      <c r="N604" s="192" t="s">
        <v>124</v>
      </c>
      <c r="O604" t="s">
        <v>773</v>
      </c>
      <c r="P604" t="s">
        <v>741</v>
      </c>
      <c r="Q604" s="197" t="s">
        <v>769</v>
      </c>
    </row>
    <row r="605" spans="2:17" ht="16.5" hidden="1" customHeight="1">
      <c r="B605" t="str">
        <f t="shared" si="24"/>
        <v>615011</v>
      </c>
      <c r="C605" s="179">
        <v>615011101011</v>
      </c>
      <c r="D605" t="s">
        <v>781</v>
      </c>
      <c r="E605" s="179"/>
      <c r="F605" s="179">
        <v>12788.84</v>
      </c>
      <c r="G605" s="179">
        <v>202.38</v>
      </c>
      <c r="H605" s="179"/>
      <c r="I605" s="179"/>
      <c r="J605" s="191">
        <v>12372.03</v>
      </c>
      <c r="K605" s="191">
        <v>1681.07</v>
      </c>
      <c r="L605" s="185">
        <v>20</v>
      </c>
      <c r="N605" s="192" t="s">
        <v>124</v>
      </c>
      <c r="O605" t="s">
        <v>773</v>
      </c>
      <c r="P605" t="s">
        <v>741</v>
      </c>
      <c r="Q605" s="197" t="s">
        <v>769</v>
      </c>
    </row>
    <row r="606" spans="2:17" ht="16.5" hidden="1" customHeight="1">
      <c r="B606" t="str">
        <f t="shared" si="24"/>
        <v>615011</v>
      </c>
      <c r="C606" s="179">
        <v>615011101012</v>
      </c>
      <c r="D606" t="s">
        <v>782</v>
      </c>
      <c r="E606" s="179"/>
      <c r="F606" s="179"/>
      <c r="G606" s="179">
        <v>0</v>
      </c>
      <c r="H606" s="179"/>
      <c r="I606" s="179"/>
      <c r="J606" s="191">
        <v>8627.17</v>
      </c>
      <c r="K606" s="191">
        <v>7374.18</v>
      </c>
      <c r="L606" s="185">
        <v>20</v>
      </c>
      <c r="N606" s="192" t="s">
        <v>124</v>
      </c>
      <c r="O606" t="s">
        <v>773</v>
      </c>
      <c r="P606" t="s">
        <v>741</v>
      </c>
      <c r="Q606" s="197" t="s">
        <v>769</v>
      </c>
    </row>
    <row r="607" spans="2:17" ht="16.5" hidden="1" customHeight="1">
      <c r="B607" t="str">
        <f t="shared" si="24"/>
        <v>615011</v>
      </c>
      <c r="C607" s="179">
        <v>615011101013</v>
      </c>
      <c r="D607" t="s">
        <v>783</v>
      </c>
      <c r="E607" s="179"/>
      <c r="F607" s="179">
        <v>4182.17</v>
      </c>
      <c r="G607" s="179">
        <v>0</v>
      </c>
      <c r="H607" s="179"/>
      <c r="I607" s="179"/>
      <c r="J607" s="191">
        <v>2787.69</v>
      </c>
      <c r="K607" s="191">
        <v>0</v>
      </c>
      <c r="L607" s="185">
        <v>20</v>
      </c>
      <c r="N607" s="192" t="s">
        <v>124</v>
      </c>
      <c r="O607" t="s">
        <v>773</v>
      </c>
      <c r="P607" t="s">
        <v>741</v>
      </c>
      <c r="Q607" s="197" t="s">
        <v>769</v>
      </c>
    </row>
    <row r="608" spans="2:17" ht="16.5" hidden="1" customHeight="1">
      <c r="B608" t="str">
        <f t="shared" si="24"/>
        <v>615011</v>
      </c>
      <c r="C608" s="179">
        <v>615011101016</v>
      </c>
      <c r="D608" t="s">
        <v>784</v>
      </c>
      <c r="E608" s="179"/>
      <c r="F608" s="179">
        <v>6473.72</v>
      </c>
      <c r="G608" s="179">
        <v>5712690.2400000002</v>
      </c>
      <c r="H608" s="179">
        <f>-I660</f>
        <v>0</v>
      </c>
      <c r="I608" s="179"/>
      <c r="J608" s="191">
        <v>43653.02</v>
      </c>
      <c r="K608" s="191">
        <v>14823075.02</v>
      </c>
      <c r="L608" s="185">
        <v>20</v>
      </c>
      <c r="N608" s="192" t="s">
        <v>124</v>
      </c>
      <c r="O608" t="s">
        <v>773</v>
      </c>
      <c r="P608" t="s">
        <v>741</v>
      </c>
      <c r="Q608" s="197" t="s">
        <v>785</v>
      </c>
    </row>
    <row r="609" spans="2:17" ht="16.5" hidden="1" customHeight="1">
      <c r="B609" t="str">
        <f t="shared" si="24"/>
        <v>615011</v>
      </c>
      <c r="C609" s="179">
        <v>615011101017</v>
      </c>
      <c r="D609" t="s">
        <v>786</v>
      </c>
      <c r="E609" s="179"/>
      <c r="F609" s="179">
        <v>2619.83</v>
      </c>
      <c r="G609" s="179">
        <v>998.41</v>
      </c>
      <c r="H609" s="179"/>
      <c r="I609" s="179"/>
      <c r="J609" s="191">
        <v>13013.35</v>
      </c>
      <c r="K609" s="191">
        <v>45748.28</v>
      </c>
      <c r="L609" s="185">
        <v>20</v>
      </c>
      <c r="N609" s="192" t="s">
        <v>124</v>
      </c>
      <c r="O609" t="s">
        <v>773</v>
      </c>
      <c r="P609" t="s">
        <v>741</v>
      </c>
      <c r="Q609" s="197" t="s">
        <v>226</v>
      </c>
    </row>
    <row r="610" spans="2:17" ht="16.5" hidden="1" customHeight="1">
      <c r="B610" t="str">
        <f t="shared" si="24"/>
        <v>615011</v>
      </c>
      <c r="C610" s="179">
        <v>615011101019</v>
      </c>
      <c r="D610" t="s">
        <v>787</v>
      </c>
      <c r="E610" s="179"/>
      <c r="F610" s="179"/>
      <c r="G610" s="179">
        <v>520531.67</v>
      </c>
      <c r="H610" s="179"/>
      <c r="I610" s="179">
        <v>-171195.98</v>
      </c>
      <c r="J610" s="191">
        <v>1830.37</v>
      </c>
      <c r="K610" s="191">
        <v>942421.83</v>
      </c>
      <c r="L610" s="185">
        <v>20</v>
      </c>
      <c r="N610" s="192" t="s">
        <v>124</v>
      </c>
      <c r="O610" t="s">
        <v>773</v>
      </c>
      <c r="P610" t="s">
        <v>741</v>
      </c>
      <c r="Q610" t="s">
        <v>788</v>
      </c>
    </row>
    <row r="611" spans="2:17" ht="16.5" hidden="1" customHeight="1">
      <c r="B611" t="str">
        <f t="shared" si="24"/>
        <v>615011</v>
      </c>
      <c r="C611" s="179">
        <v>615011102001</v>
      </c>
      <c r="D611" t="s">
        <v>789</v>
      </c>
      <c r="E611" s="179"/>
      <c r="F611" s="179">
        <v>356380.19</v>
      </c>
      <c r="G611" s="179">
        <v>369450.92</v>
      </c>
      <c r="H611" s="179"/>
      <c r="I611" s="179"/>
      <c r="J611" s="191">
        <v>0</v>
      </c>
      <c r="K611" s="191">
        <v>747717.42</v>
      </c>
      <c r="L611" s="185">
        <v>20</v>
      </c>
      <c r="N611" s="192" t="s">
        <v>124</v>
      </c>
      <c r="O611" t="s">
        <v>773</v>
      </c>
      <c r="P611" t="s">
        <v>741</v>
      </c>
      <c r="Q611" s="197" t="s">
        <v>790</v>
      </c>
    </row>
    <row r="612" spans="2:17" ht="16.5" hidden="1" customHeight="1">
      <c r="B612" t="str">
        <f t="shared" si="24"/>
        <v>615011</v>
      </c>
      <c r="C612" s="179">
        <v>615011102003</v>
      </c>
      <c r="D612" t="s">
        <v>791</v>
      </c>
      <c r="E612" s="179"/>
      <c r="F612" s="179">
        <v>27310.47</v>
      </c>
      <c r="G612" s="179">
        <v>0</v>
      </c>
      <c r="H612" s="179"/>
      <c r="I612" s="179"/>
      <c r="J612" s="191">
        <v>0</v>
      </c>
      <c r="K612" s="191">
        <v>0</v>
      </c>
      <c r="L612" s="185">
        <v>20</v>
      </c>
      <c r="N612" s="192" t="s">
        <v>124</v>
      </c>
      <c r="O612" t="s">
        <v>773</v>
      </c>
      <c r="P612" t="s">
        <v>741</v>
      </c>
      <c r="Q612" s="197" t="s">
        <v>226</v>
      </c>
    </row>
    <row r="613" spans="2:17" ht="16.5" hidden="1" customHeight="1">
      <c r="B613" t="str">
        <f t="shared" si="24"/>
        <v>615011</v>
      </c>
      <c r="C613" s="179">
        <v>615011102004</v>
      </c>
      <c r="D613" t="s">
        <v>792</v>
      </c>
      <c r="E613" s="179"/>
      <c r="F613" s="179">
        <v>67505.11</v>
      </c>
      <c r="G613" s="179">
        <v>0</v>
      </c>
      <c r="H613" s="179"/>
      <c r="I613" s="179"/>
      <c r="J613" s="191">
        <v>0</v>
      </c>
      <c r="K613" s="191">
        <v>0</v>
      </c>
      <c r="L613" s="185">
        <v>20</v>
      </c>
      <c r="N613" s="192" t="s">
        <v>124</v>
      </c>
      <c r="O613" t="s">
        <v>773</v>
      </c>
      <c r="P613" t="s">
        <v>741</v>
      </c>
      <c r="Q613" s="197" t="s">
        <v>760</v>
      </c>
    </row>
    <row r="614" spans="2:17" ht="16.5" hidden="1" customHeight="1">
      <c r="B614" t="str">
        <f t="shared" si="24"/>
        <v>615011</v>
      </c>
      <c r="C614" s="179">
        <v>615011111001</v>
      </c>
      <c r="D614" t="s">
        <v>793</v>
      </c>
      <c r="E614" s="179"/>
      <c r="F614" s="179">
        <v>2812.01</v>
      </c>
      <c r="G614" s="179">
        <v>0</v>
      </c>
      <c r="H614" s="179"/>
      <c r="I614" s="179"/>
      <c r="J614" s="191">
        <v>0</v>
      </c>
      <c r="K614" s="191">
        <v>0</v>
      </c>
      <c r="L614" s="185">
        <v>20</v>
      </c>
      <c r="N614" s="192" t="s">
        <v>124</v>
      </c>
      <c r="O614" t="s">
        <v>773</v>
      </c>
      <c r="P614" t="s">
        <v>741</v>
      </c>
      <c r="Q614" s="197" t="s">
        <v>794</v>
      </c>
    </row>
    <row r="615" spans="2:17" ht="16.5" hidden="1" customHeight="1">
      <c r="B615" t="str">
        <f t="shared" si="24"/>
        <v>615011</v>
      </c>
      <c r="C615" s="179">
        <v>615011111002</v>
      </c>
      <c r="D615" t="s">
        <v>795</v>
      </c>
      <c r="E615" s="179"/>
      <c r="F615" s="179"/>
      <c r="G615" s="179">
        <v>814304.05</v>
      </c>
      <c r="H615" s="179"/>
      <c r="I615" s="179"/>
      <c r="J615" s="191">
        <v>913.53</v>
      </c>
      <c r="K615" s="191">
        <v>2158188.4300000002</v>
      </c>
      <c r="L615" s="185">
        <v>20</v>
      </c>
      <c r="N615" s="192" t="s">
        <v>124</v>
      </c>
      <c r="O615" t="s">
        <v>773</v>
      </c>
      <c r="P615" t="s">
        <v>741</v>
      </c>
      <c r="Q615" t="s">
        <v>796</v>
      </c>
    </row>
    <row r="616" spans="2:17" ht="16.5" hidden="1" customHeight="1">
      <c r="B616" t="str">
        <f t="shared" si="24"/>
        <v>615011</v>
      </c>
      <c r="C616" s="179">
        <v>615011111003</v>
      </c>
      <c r="D616" t="s">
        <v>797</v>
      </c>
      <c r="E616" s="179"/>
      <c r="F616" s="179">
        <v>5901.22</v>
      </c>
      <c r="G616" s="179">
        <v>13218822.560000001</v>
      </c>
      <c r="H616" s="179"/>
      <c r="I616" s="179"/>
      <c r="J616" s="191">
        <v>73777.649999999994</v>
      </c>
      <c r="K616" s="191">
        <v>22754412.18</v>
      </c>
      <c r="L616" s="185">
        <v>20</v>
      </c>
      <c r="N616" s="192" t="s">
        <v>124</v>
      </c>
      <c r="O616" t="s">
        <v>773</v>
      </c>
      <c r="P616" t="s">
        <v>741</v>
      </c>
      <c r="Q616" s="197" t="s">
        <v>794</v>
      </c>
    </row>
    <row r="617" spans="2:17" ht="16.5" hidden="1" customHeight="1">
      <c r="B617" t="s">
        <v>798</v>
      </c>
      <c r="C617" s="179">
        <v>615011111004</v>
      </c>
      <c r="D617" t="s">
        <v>799</v>
      </c>
      <c r="E617" s="179"/>
      <c r="F617" s="179">
        <v>5478.7</v>
      </c>
      <c r="J617" s="191">
        <v>59311.92</v>
      </c>
      <c r="K617" s="191">
        <v>435.37</v>
      </c>
      <c r="L617" s="185">
        <v>20</v>
      </c>
      <c r="N617" s="192" t="s">
        <v>124</v>
      </c>
      <c r="O617" t="s">
        <v>773</v>
      </c>
    </row>
    <row r="618" spans="2:17" ht="16.5" hidden="1" customHeight="1">
      <c r="B618" t="s">
        <v>798</v>
      </c>
      <c r="C618" s="179">
        <v>615011111005</v>
      </c>
      <c r="D618" t="s">
        <v>800</v>
      </c>
      <c r="E618" s="179"/>
      <c r="F618" s="179">
        <v>11703.19</v>
      </c>
      <c r="J618" s="191">
        <v>0</v>
      </c>
      <c r="K618" s="191">
        <v>2799.1</v>
      </c>
      <c r="L618" s="185">
        <v>20</v>
      </c>
      <c r="N618" s="192" t="s">
        <v>124</v>
      </c>
      <c r="O618" t="s">
        <v>773</v>
      </c>
    </row>
    <row r="619" spans="2:17" ht="16.5" hidden="1" customHeight="1">
      <c r="B619" t="s">
        <v>798</v>
      </c>
      <c r="C619" s="179">
        <v>615011111006</v>
      </c>
      <c r="D619" t="s">
        <v>801</v>
      </c>
      <c r="E619" s="179"/>
      <c r="F619" s="179"/>
      <c r="J619" s="191">
        <v>404249.77</v>
      </c>
      <c r="K619" s="191">
        <v>189273.58</v>
      </c>
      <c r="L619" s="185">
        <v>20</v>
      </c>
      <c r="N619" s="192" t="s">
        <v>124</v>
      </c>
      <c r="O619" t="s">
        <v>773</v>
      </c>
    </row>
    <row r="620" spans="2:17" ht="16.5" hidden="1" customHeight="1">
      <c r="B620" t="s">
        <v>798</v>
      </c>
      <c r="C620" s="179">
        <v>615011112001</v>
      </c>
      <c r="D620" t="s">
        <v>802</v>
      </c>
      <c r="E620" s="179"/>
      <c r="F620" s="179"/>
      <c r="J620" s="191">
        <v>650817459.67999995</v>
      </c>
      <c r="K620" s="191">
        <v>1810</v>
      </c>
      <c r="L620" s="185">
        <v>20</v>
      </c>
      <c r="N620" s="192" t="s">
        <v>124</v>
      </c>
      <c r="O620" t="s">
        <v>773</v>
      </c>
    </row>
    <row r="621" spans="2:17" ht="16.5" hidden="1" customHeight="1">
      <c r="B621" t="s">
        <v>798</v>
      </c>
      <c r="C621" s="179">
        <v>615011121001</v>
      </c>
      <c r="D621" t="s">
        <v>803</v>
      </c>
      <c r="E621" s="179"/>
      <c r="F621" s="179">
        <v>6285.05</v>
      </c>
      <c r="J621" s="191">
        <v>12486085.76</v>
      </c>
      <c r="K621" s="191">
        <v>4991.04</v>
      </c>
      <c r="L621" s="185">
        <v>20</v>
      </c>
      <c r="N621" s="192" t="s">
        <v>124</v>
      </c>
      <c r="O621" t="s">
        <v>773</v>
      </c>
    </row>
    <row r="622" spans="2:17" ht="16.5" hidden="1" customHeight="1">
      <c r="B622" t="s">
        <v>798</v>
      </c>
      <c r="C622" s="179">
        <v>615011121002</v>
      </c>
      <c r="D622" t="s">
        <v>804</v>
      </c>
      <c r="E622" s="179"/>
      <c r="F622" s="179"/>
      <c r="J622" s="191">
        <v>353290.44</v>
      </c>
      <c r="K622" s="191">
        <v>486.13</v>
      </c>
      <c r="L622" s="185">
        <v>20</v>
      </c>
      <c r="N622" s="192" t="s">
        <v>124</v>
      </c>
      <c r="O622" t="s">
        <v>773</v>
      </c>
    </row>
    <row r="623" spans="2:17" ht="16.5" hidden="1" customHeight="1">
      <c r="B623" t="s">
        <v>798</v>
      </c>
      <c r="C623" s="179">
        <v>615011121004</v>
      </c>
      <c r="D623" t="s">
        <v>805</v>
      </c>
      <c r="E623" s="179"/>
      <c r="F623" s="179"/>
      <c r="J623" s="191">
        <v>15702.25</v>
      </c>
      <c r="K623" s="191">
        <v>477341.9</v>
      </c>
      <c r="L623" s="185">
        <v>20</v>
      </c>
      <c r="N623" s="192" t="s">
        <v>124</v>
      </c>
      <c r="O623" t="s">
        <v>773</v>
      </c>
    </row>
    <row r="624" spans="2:17" ht="16.5" hidden="1" customHeight="1">
      <c r="B624" t="s">
        <v>798</v>
      </c>
      <c r="C624" s="179">
        <v>615011121005</v>
      </c>
      <c r="D624" t="s">
        <v>806</v>
      </c>
      <c r="E624" s="179"/>
      <c r="F624" s="179">
        <v>17672.34</v>
      </c>
      <c r="J624" s="191">
        <v>10907.93</v>
      </c>
      <c r="K624" s="191">
        <v>2307.9899999999998</v>
      </c>
      <c r="L624" s="185">
        <v>20</v>
      </c>
      <c r="N624" s="192" t="s">
        <v>124</v>
      </c>
      <c r="O624" t="s">
        <v>773</v>
      </c>
    </row>
    <row r="625" spans="2:17" ht="16.5" hidden="1" customHeight="1">
      <c r="B625" t="str">
        <f t="shared" ref="B625:B656" si="25">LEFT(C625,6)</f>
        <v>615011</v>
      </c>
      <c r="C625" s="179">
        <v>615011121007</v>
      </c>
      <c r="D625" t="s">
        <v>807</v>
      </c>
      <c r="E625" s="179"/>
      <c r="F625" s="179">
        <v>5561.87</v>
      </c>
      <c r="G625" s="179">
        <v>275956.46000000002</v>
      </c>
      <c r="H625" s="179"/>
      <c r="I625" s="179"/>
      <c r="J625" s="191">
        <v>0</v>
      </c>
      <c r="K625" s="191">
        <v>570110.1</v>
      </c>
      <c r="L625" s="185">
        <v>50</v>
      </c>
      <c r="N625" s="192" t="s">
        <v>124</v>
      </c>
      <c r="O625" t="s">
        <v>773</v>
      </c>
      <c r="P625" t="s">
        <v>741</v>
      </c>
      <c r="Q625" t="s">
        <v>744</v>
      </c>
    </row>
    <row r="626" spans="2:17" ht="16.5" hidden="1" customHeight="1">
      <c r="B626" t="str">
        <f t="shared" si="25"/>
        <v>615011</v>
      </c>
      <c r="C626" s="179">
        <v>615011121008</v>
      </c>
      <c r="D626" t="s">
        <v>808</v>
      </c>
      <c r="E626" s="179"/>
      <c r="F626" s="179">
        <v>76600</v>
      </c>
      <c r="G626" s="179">
        <v>0</v>
      </c>
      <c r="H626" s="179"/>
      <c r="I626" s="179"/>
      <c r="J626" s="191">
        <v>106946.27</v>
      </c>
      <c r="K626" s="191">
        <v>0</v>
      </c>
      <c r="L626" s="185">
        <v>50</v>
      </c>
      <c r="N626" s="192" t="s">
        <v>124</v>
      </c>
      <c r="O626" t="s">
        <v>773</v>
      </c>
      <c r="P626" t="s">
        <v>741</v>
      </c>
      <c r="Q626" t="s">
        <v>744</v>
      </c>
    </row>
    <row r="627" spans="2:17" ht="16.5" hidden="1" customHeight="1">
      <c r="B627" t="str">
        <f t="shared" si="25"/>
        <v>615011</v>
      </c>
      <c r="C627" s="179">
        <v>615011121009</v>
      </c>
      <c r="D627" t="s">
        <v>809</v>
      </c>
      <c r="E627" s="179"/>
      <c r="F627" s="179">
        <v>92109.1</v>
      </c>
      <c r="G627" s="179">
        <v>33138.78</v>
      </c>
      <c r="H627" s="179"/>
      <c r="I627" s="179"/>
      <c r="J627" s="191">
        <v>481589.03</v>
      </c>
      <c r="K627" s="191">
        <v>71777.440000000002</v>
      </c>
      <c r="L627" s="185">
        <v>50</v>
      </c>
      <c r="N627" s="192" t="s">
        <v>124</v>
      </c>
      <c r="O627" t="s">
        <v>773</v>
      </c>
      <c r="P627" t="s">
        <v>741</v>
      </c>
      <c r="Q627" t="s">
        <v>744</v>
      </c>
    </row>
    <row r="628" spans="2:17" ht="16.5" hidden="1" customHeight="1">
      <c r="B628" t="str">
        <f t="shared" si="25"/>
        <v>615011</v>
      </c>
      <c r="C628" s="179">
        <v>615011121010</v>
      </c>
      <c r="D628" t="s">
        <v>810</v>
      </c>
      <c r="E628" s="179"/>
      <c r="F628" s="179"/>
      <c r="G628" s="179">
        <v>0</v>
      </c>
      <c r="H628" s="179"/>
      <c r="I628" s="179"/>
      <c r="J628" s="191">
        <v>187371.6</v>
      </c>
      <c r="K628" s="191">
        <v>35793.65</v>
      </c>
      <c r="L628" s="185">
        <v>50</v>
      </c>
      <c r="N628" s="192" t="s">
        <v>124</v>
      </c>
      <c r="O628" t="s">
        <v>773</v>
      </c>
      <c r="P628" t="s">
        <v>741</v>
      </c>
      <c r="Q628" t="s">
        <v>744</v>
      </c>
    </row>
    <row r="629" spans="2:17" ht="16.5" hidden="1" customHeight="1">
      <c r="B629" t="str">
        <f t="shared" si="25"/>
        <v>615011</v>
      </c>
      <c r="C629" s="179">
        <v>615011121011</v>
      </c>
      <c r="D629" t="s">
        <v>811</v>
      </c>
      <c r="E629" s="179"/>
      <c r="F629" s="179"/>
      <c r="G629" s="179">
        <v>44786.3</v>
      </c>
      <c r="H629" s="179"/>
      <c r="I629" s="179"/>
      <c r="J629" s="191">
        <v>5220</v>
      </c>
      <c r="K629" s="191">
        <v>82586.84</v>
      </c>
      <c r="L629" s="185">
        <v>50</v>
      </c>
      <c r="N629" s="192" t="s">
        <v>124</v>
      </c>
      <c r="O629" t="s">
        <v>773</v>
      </c>
      <c r="P629" t="s">
        <v>741</v>
      </c>
      <c r="Q629" t="s">
        <v>744</v>
      </c>
    </row>
    <row r="630" spans="2:17" ht="16.5" hidden="1" customHeight="1">
      <c r="B630" t="str">
        <f t="shared" si="25"/>
        <v>615011</v>
      </c>
      <c r="C630" s="179">
        <v>615011121012</v>
      </c>
      <c r="D630" t="s">
        <v>812</v>
      </c>
      <c r="E630" s="179"/>
      <c r="F630" s="179">
        <v>110084.35</v>
      </c>
      <c r="G630" s="179">
        <v>65251.96</v>
      </c>
      <c r="H630" s="179"/>
      <c r="I630" s="179"/>
      <c r="J630" s="191">
        <v>151020.34</v>
      </c>
      <c r="K630" s="191">
        <v>122503.01</v>
      </c>
      <c r="L630" s="185">
        <v>50</v>
      </c>
      <c r="N630" s="192" t="s">
        <v>124</v>
      </c>
      <c r="O630" t="s">
        <v>773</v>
      </c>
      <c r="P630" t="s">
        <v>741</v>
      </c>
      <c r="Q630" t="s">
        <v>744</v>
      </c>
    </row>
    <row r="631" spans="2:17" ht="16.5" hidden="1" customHeight="1">
      <c r="B631" t="str">
        <f t="shared" si="25"/>
        <v>615011</v>
      </c>
      <c r="C631" s="179">
        <v>615011121013</v>
      </c>
      <c r="D631" t="s">
        <v>813</v>
      </c>
      <c r="E631" s="179"/>
      <c r="F631" s="179"/>
      <c r="G631" s="179">
        <v>121280.2</v>
      </c>
      <c r="H631" s="179"/>
      <c r="I631" s="179"/>
      <c r="J631" s="191">
        <v>2541.4299999999998</v>
      </c>
      <c r="K631" s="191">
        <v>248465.83</v>
      </c>
      <c r="L631" s="185">
        <v>50</v>
      </c>
      <c r="N631" s="192" t="s">
        <v>124</v>
      </c>
      <c r="O631" t="s">
        <v>773</v>
      </c>
      <c r="P631" t="s">
        <v>741</v>
      </c>
      <c r="Q631" t="s">
        <v>744</v>
      </c>
    </row>
    <row r="632" spans="2:17" ht="16.5" hidden="1" customHeight="1">
      <c r="B632" t="str">
        <f t="shared" si="25"/>
        <v>615011</v>
      </c>
      <c r="C632" s="179">
        <v>615011121014</v>
      </c>
      <c r="D632" t="s">
        <v>814</v>
      </c>
      <c r="E632" s="179"/>
      <c r="F632" s="179">
        <v>3528.76</v>
      </c>
      <c r="G632" s="179">
        <v>40929.519999999997</v>
      </c>
      <c r="H632" s="179"/>
      <c r="I632" s="179"/>
      <c r="J632" s="191">
        <v>10367.31</v>
      </c>
      <c r="K632" s="191">
        <v>70973.679999999993</v>
      </c>
      <c r="L632" s="185">
        <v>50</v>
      </c>
      <c r="N632" s="192" t="s">
        <v>124</v>
      </c>
      <c r="O632" t="s">
        <v>773</v>
      </c>
      <c r="P632" t="s">
        <v>741</v>
      </c>
      <c r="Q632" t="s">
        <v>744</v>
      </c>
    </row>
    <row r="633" spans="2:17" ht="16.5" hidden="1" customHeight="1">
      <c r="B633" t="str">
        <f t="shared" si="25"/>
        <v>615011</v>
      </c>
      <c r="C633" s="179">
        <v>615011121020</v>
      </c>
      <c r="D633" t="s">
        <v>815</v>
      </c>
      <c r="E633" s="179"/>
      <c r="F633" s="179">
        <v>3103254.74</v>
      </c>
      <c r="G633" s="179">
        <v>61078.55</v>
      </c>
      <c r="H633" s="179"/>
      <c r="I633" s="179"/>
      <c r="J633" s="191">
        <v>0</v>
      </c>
      <c r="K633" s="191">
        <v>137917.60999999999</v>
      </c>
      <c r="L633" s="185">
        <v>50</v>
      </c>
      <c r="N633" s="192" t="s">
        <v>124</v>
      </c>
      <c r="O633" t="s">
        <v>773</v>
      </c>
      <c r="P633" t="s">
        <v>741</v>
      </c>
      <c r="Q633" t="s">
        <v>744</v>
      </c>
    </row>
    <row r="634" spans="2:17" hidden="1">
      <c r="B634" t="str">
        <f t="shared" si="25"/>
        <v>615011</v>
      </c>
      <c r="C634" s="179">
        <v>615011153001</v>
      </c>
      <c r="D634" t="s">
        <v>816</v>
      </c>
      <c r="E634" s="179"/>
      <c r="F634" s="179">
        <v>22793141.239999998</v>
      </c>
      <c r="G634" s="179">
        <v>8293.89</v>
      </c>
      <c r="H634" s="179"/>
      <c r="I634" s="179"/>
      <c r="J634" s="191">
        <v>16676513.67</v>
      </c>
      <c r="K634" s="191">
        <v>17133.689999999999</v>
      </c>
      <c r="L634" s="185">
        <v>50</v>
      </c>
      <c r="N634" s="192" t="s">
        <v>124</v>
      </c>
      <c r="O634" t="s">
        <v>773</v>
      </c>
      <c r="P634" t="s">
        <v>741</v>
      </c>
      <c r="Q634" t="s">
        <v>744</v>
      </c>
    </row>
    <row r="635" spans="2:17" ht="16.5" hidden="1" customHeight="1">
      <c r="B635" t="str">
        <f t="shared" si="25"/>
        <v>615011</v>
      </c>
      <c r="C635" s="179">
        <v>615011191002</v>
      </c>
      <c r="D635" t="s">
        <v>817</v>
      </c>
      <c r="E635" s="179"/>
      <c r="F635" s="179">
        <v>5924</v>
      </c>
      <c r="G635" s="179">
        <v>3283.66</v>
      </c>
      <c r="H635" s="179"/>
      <c r="I635" s="179"/>
      <c r="J635" s="191">
        <v>50857.5</v>
      </c>
      <c r="K635" s="191">
        <v>3516.1</v>
      </c>
      <c r="L635" s="185">
        <v>50</v>
      </c>
      <c r="N635" s="192" t="s">
        <v>124</v>
      </c>
      <c r="O635" t="s">
        <v>773</v>
      </c>
      <c r="P635" t="s">
        <v>741</v>
      </c>
      <c r="Q635" t="s">
        <v>744</v>
      </c>
    </row>
    <row r="636" spans="2:17" ht="16.5" hidden="1" customHeight="1">
      <c r="B636" t="str">
        <f t="shared" si="25"/>
        <v>615011</v>
      </c>
      <c r="C636" s="179">
        <v>615011192001</v>
      </c>
      <c r="D636" t="s">
        <v>818</v>
      </c>
      <c r="E636" s="179"/>
      <c r="F636" s="179"/>
      <c r="G636" s="179">
        <v>1544.06</v>
      </c>
      <c r="H636" s="179"/>
      <c r="I636" s="179"/>
      <c r="J636" s="191">
        <v>1034380.51</v>
      </c>
      <c r="K636" s="191">
        <v>3887.21</v>
      </c>
      <c r="L636" s="185">
        <v>50</v>
      </c>
      <c r="N636" s="192" t="s">
        <v>124</v>
      </c>
      <c r="O636" t="s">
        <v>773</v>
      </c>
      <c r="P636" t="s">
        <v>741</v>
      </c>
      <c r="Q636" t="s">
        <v>744</v>
      </c>
    </row>
    <row r="637" spans="2:17" ht="16.5" hidden="1" customHeight="1">
      <c r="B637" t="str">
        <f t="shared" si="25"/>
        <v>615011</v>
      </c>
      <c r="C637" s="179">
        <v>615011193001</v>
      </c>
      <c r="D637" t="s">
        <v>819</v>
      </c>
      <c r="E637" s="179"/>
      <c r="F637" s="179">
        <v>5511.49</v>
      </c>
      <c r="G637" s="179">
        <v>0</v>
      </c>
      <c r="H637" s="179"/>
      <c r="I637" s="179"/>
      <c r="J637" s="191">
        <v>834721.51</v>
      </c>
      <c r="K637" s="191">
        <v>0</v>
      </c>
      <c r="L637" s="185">
        <v>50</v>
      </c>
      <c r="N637" s="192" t="s">
        <v>124</v>
      </c>
      <c r="O637" t="s">
        <v>773</v>
      </c>
      <c r="P637" t="s">
        <v>741</v>
      </c>
      <c r="Q637" t="s">
        <v>744</v>
      </c>
    </row>
    <row r="638" spans="2:17" ht="16.5" hidden="1" customHeight="1">
      <c r="B638" t="str">
        <f t="shared" si="25"/>
        <v>615011</v>
      </c>
      <c r="C638" s="179">
        <v>615011198001</v>
      </c>
      <c r="D638" t="s">
        <v>820</v>
      </c>
      <c r="E638" s="179"/>
      <c r="F638" s="179">
        <v>-177611.13</v>
      </c>
      <c r="G638" s="179">
        <v>14868.89</v>
      </c>
      <c r="H638" s="179"/>
      <c r="I638" s="179"/>
      <c r="J638" s="191">
        <v>0</v>
      </c>
      <c r="K638" s="191">
        <v>6080.8</v>
      </c>
      <c r="L638" s="185">
        <v>50</v>
      </c>
      <c r="N638" s="192" t="s">
        <v>124</v>
      </c>
      <c r="O638" t="s">
        <v>773</v>
      </c>
      <c r="P638" t="s">
        <v>741</v>
      </c>
      <c r="Q638" t="s">
        <v>744</v>
      </c>
    </row>
    <row r="639" spans="2:17" ht="16.5" hidden="1" customHeight="1">
      <c r="B639" t="str">
        <f t="shared" si="25"/>
        <v>615011</v>
      </c>
      <c r="C639" s="179">
        <v>615011501</v>
      </c>
      <c r="D639" t="s">
        <v>821</v>
      </c>
      <c r="E639" s="179"/>
      <c r="F639" s="179">
        <v>1456783.76</v>
      </c>
      <c r="G639" s="179">
        <v>4964.22</v>
      </c>
      <c r="H639" s="179"/>
      <c r="I639" s="179"/>
      <c r="J639" s="191">
        <v>0</v>
      </c>
      <c r="K639" s="191">
        <v>2113.29</v>
      </c>
      <c r="L639" s="185">
        <v>50</v>
      </c>
      <c r="N639" s="192" t="s">
        <v>124</v>
      </c>
      <c r="O639" t="s">
        <v>773</v>
      </c>
      <c r="P639" t="s">
        <v>741</v>
      </c>
      <c r="Q639" t="s">
        <v>744</v>
      </c>
    </row>
    <row r="640" spans="2:17" ht="16.5" hidden="1" customHeight="1">
      <c r="B640" t="str">
        <f t="shared" si="25"/>
        <v>615011</v>
      </c>
      <c r="C640" s="179">
        <v>615011502</v>
      </c>
      <c r="D640" t="s">
        <v>319</v>
      </c>
      <c r="E640" s="179"/>
      <c r="F640" s="179">
        <v>1212184.96</v>
      </c>
      <c r="G640" s="179">
        <v>0</v>
      </c>
      <c r="H640" s="179"/>
      <c r="I640" s="179"/>
      <c r="J640" s="191">
        <v>0</v>
      </c>
      <c r="K640" s="191">
        <v>0</v>
      </c>
      <c r="L640" s="185">
        <v>50</v>
      </c>
      <c r="N640" s="192" t="s">
        <v>124</v>
      </c>
      <c r="O640" t="s">
        <v>773</v>
      </c>
      <c r="P640" t="s">
        <v>741</v>
      </c>
      <c r="Q640" t="s">
        <v>744</v>
      </c>
    </row>
    <row r="641" spans="2:17" ht="16.5" hidden="1" customHeight="1">
      <c r="B641" t="str">
        <f t="shared" si="25"/>
        <v>615011</v>
      </c>
      <c r="C641" s="179">
        <v>615011503</v>
      </c>
      <c r="D641" t="s">
        <v>822</v>
      </c>
      <c r="E641" s="179"/>
      <c r="F641" s="179">
        <v>6382471.6200000001</v>
      </c>
      <c r="G641" s="179">
        <v>445092.59</v>
      </c>
      <c r="H641" s="179"/>
      <c r="I641" s="179"/>
      <c r="J641" s="191">
        <v>2279417.58</v>
      </c>
      <c r="K641" s="191">
        <v>826118.97</v>
      </c>
      <c r="L641" s="185">
        <v>50</v>
      </c>
      <c r="N641" s="192" t="s">
        <v>124</v>
      </c>
      <c r="O641" t="s">
        <v>773</v>
      </c>
      <c r="P641" t="s">
        <v>741</v>
      </c>
      <c r="Q641" t="s">
        <v>744</v>
      </c>
    </row>
    <row r="642" spans="2:17" ht="16.5" hidden="1" customHeight="1">
      <c r="B642" t="str">
        <f t="shared" si="25"/>
        <v>615011</v>
      </c>
      <c r="C642" s="179">
        <v>615011511</v>
      </c>
      <c r="D642" t="s">
        <v>823</v>
      </c>
      <c r="E642" s="179"/>
      <c r="F642" s="179"/>
      <c r="G642" s="179">
        <v>18351.78</v>
      </c>
      <c r="H642" s="179"/>
      <c r="I642" s="179"/>
      <c r="J642" s="191">
        <v>24641434.329999998</v>
      </c>
      <c r="K642" s="191">
        <v>30841.040000000001</v>
      </c>
      <c r="L642" s="185">
        <v>50</v>
      </c>
      <c r="N642" s="192" t="s">
        <v>124</v>
      </c>
      <c r="O642" t="s">
        <v>773</v>
      </c>
      <c r="P642" t="s">
        <v>741</v>
      </c>
      <c r="Q642" t="s">
        <v>744</v>
      </c>
    </row>
    <row r="643" spans="2:17" ht="16.5" hidden="1" customHeight="1">
      <c r="B643" t="str">
        <f t="shared" si="25"/>
        <v>615011</v>
      </c>
      <c r="C643" s="179">
        <v>615011121006</v>
      </c>
      <c r="D643" t="s">
        <v>824</v>
      </c>
      <c r="E643" s="179"/>
      <c r="F643" s="179"/>
      <c r="G643" s="179">
        <v>53003.28</v>
      </c>
      <c r="H643" s="179"/>
      <c r="I643" s="179"/>
      <c r="J643" s="191">
        <v>435.37</v>
      </c>
      <c r="K643" s="191">
        <v>100008.45</v>
      </c>
      <c r="L643" s="185">
        <v>50</v>
      </c>
      <c r="N643" s="192" t="s">
        <v>124</v>
      </c>
      <c r="O643" t="s">
        <v>773</v>
      </c>
      <c r="P643" t="s">
        <v>741</v>
      </c>
      <c r="Q643" t="s">
        <v>744</v>
      </c>
    </row>
    <row r="644" spans="2:17" ht="16.5" hidden="1" customHeight="1">
      <c r="B644" t="str">
        <f t="shared" si="25"/>
        <v>615011</v>
      </c>
      <c r="C644" s="179">
        <v>615011121015</v>
      </c>
      <c r="D644" t="s">
        <v>825</v>
      </c>
      <c r="E644" s="179"/>
      <c r="F644" s="179"/>
      <c r="G644" s="179">
        <v>25875.37</v>
      </c>
      <c r="H644" s="179"/>
      <c r="I644" s="179"/>
      <c r="J644" s="191">
        <v>3006.06</v>
      </c>
      <c r="K644" s="191">
        <v>35669.480000000003</v>
      </c>
      <c r="L644" s="185">
        <v>50</v>
      </c>
      <c r="N644" s="192" t="s">
        <v>124</v>
      </c>
      <c r="O644" t="s">
        <v>773</v>
      </c>
      <c r="P644" t="s">
        <v>741</v>
      </c>
      <c r="Q644" s="197" t="s">
        <v>760</v>
      </c>
    </row>
    <row r="645" spans="2:17" ht="16.5" hidden="1" customHeight="1">
      <c r="B645" t="str">
        <f t="shared" si="25"/>
        <v>615011</v>
      </c>
      <c r="C645" s="179">
        <v>615011121016</v>
      </c>
      <c r="D645" t="s">
        <v>826</v>
      </c>
      <c r="E645" s="179"/>
      <c r="F645" s="179"/>
      <c r="G645" s="179">
        <v>7819.95</v>
      </c>
      <c r="H645" s="179"/>
      <c r="I645" s="179"/>
      <c r="J645" s="191">
        <v>208375.96</v>
      </c>
      <c r="K645" s="191">
        <v>15064.46</v>
      </c>
      <c r="L645" s="185">
        <v>50</v>
      </c>
      <c r="N645" s="192" t="s">
        <v>124</v>
      </c>
      <c r="O645" t="s">
        <v>773</v>
      </c>
      <c r="P645" t="s">
        <v>741</v>
      </c>
      <c r="Q645" s="197" t="s">
        <v>760</v>
      </c>
    </row>
    <row r="646" spans="2:17" ht="16.5" hidden="1" customHeight="1">
      <c r="B646" t="str">
        <f t="shared" si="25"/>
        <v>615011</v>
      </c>
      <c r="C646" s="179">
        <v>615011121017</v>
      </c>
      <c r="D646" t="s">
        <v>827</v>
      </c>
      <c r="E646" s="179"/>
      <c r="F646" s="179"/>
      <c r="G646" s="179">
        <v>1796.04</v>
      </c>
      <c r="H646" s="179"/>
      <c r="I646" s="179"/>
      <c r="J646" s="191">
        <v>1810</v>
      </c>
      <c r="K646" s="191">
        <v>8006.85</v>
      </c>
      <c r="L646" s="185">
        <v>50</v>
      </c>
      <c r="N646" s="192" t="s">
        <v>124</v>
      </c>
      <c r="O646" t="s">
        <v>773</v>
      </c>
      <c r="P646" t="s">
        <v>741</v>
      </c>
      <c r="Q646" s="197" t="s">
        <v>760</v>
      </c>
    </row>
    <row r="647" spans="2:17" ht="16.5" hidden="1" customHeight="1">
      <c r="B647" t="str">
        <f t="shared" si="25"/>
        <v>615011</v>
      </c>
      <c r="C647" s="179">
        <v>615011153003</v>
      </c>
      <c r="D647" t="s">
        <v>828</v>
      </c>
      <c r="E647" s="179"/>
      <c r="F647" s="179"/>
      <c r="G647" s="179">
        <v>6882.46</v>
      </c>
      <c r="H647" s="179"/>
      <c r="I647" s="179"/>
      <c r="J647" s="191">
        <v>6654.72</v>
      </c>
      <c r="K647" s="191">
        <v>6896.46</v>
      </c>
      <c r="L647" s="185">
        <v>50</v>
      </c>
      <c r="N647" s="192" t="s">
        <v>124</v>
      </c>
      <c r="O647" t="s">
        <v>773</v>
      </c>
      <c r="P647" t="s">
        <v>741</v>
      </c>
      <c r="Q647" s="197" t="s">
        <v>760</v>
      </c>
    </row>
    <row r="648" spans="2:17" ht="16.5" hidden="1" customHeight="1">
      <c r="B648" t="str">
        <f t="shared" si="25"/>
        <v>615011</v>
      </c>
      <c r="C648" s="179">
        <v>615011199004</v>
      </c>
      <c r="D648" t="s">
        <v>829</v>
      </c>
      <c r="E648" s="179"/>
      <c r="F648" s="179"/>
      <c r="G648" s="179">
        <v>7991.06</v>
      </c>
      <c r="H648" s="179"/>
      <c r="I648" s="179"/>
      <c r="J648" s="191">
        <v>486.13</v>
      </c>
      <c r="K648" s="191">
        <v>10944.27</v>
      </c>
      <c r="L648" s="185">
        <v>50</v>
      </c>
      <c r="N648" s="192" t="s">
        <v>124</v>
      </c>
      <c r="O648" t="s">
        <v>773</v>
      </c>
      <c r="P648" t="s">
        <v>741</v>
      </c>
      <c r="Q648" s="197" t="s">
        <v>760</v>
      </c>
    </row>
    <row r="649" spans="2:17" ht="16.5" hidden="1" customHeight="1">
      <c r="B649" t="str">
        <f t="shared" si="25"/>
        <v>615011</v>
      </c>
      <c r="C649" s="179">
        <v>615011199005</v>
      </c>
      <c r="D649" t="s">
        <v>830</v>
      </c>
      <c r="E649" s="179"/>
      <c r="F649" s="179"/>
      <c r="G649" s="179">
        <v>35685.17</v>
      </c>
      <c r="H649" s="179"/>
      <c r="I649" s="179"/>
      <c r="J649" s="191">
        <v>570754.82999999996</v>
      </c>
      <c r="K649" s="191">
        <v>41304.410000000003</v>
      </c>
      <c r="L649" s="185">
        <v>50</v>
      </c>
      <c r="N649" s="192" t="s">
        <v>124</v>
      </c>
      <c r="O649" t="s">
        <v>773</v>
      </c>
      <c r="P649" t="s">
        <v>741</v>
      </c>
      <c r="Q649" s="197" t="s">
        <v>769</v>
      </c>
    </row>
    <row r="650" spans="2:17" ht="16.5" hidden="1" customHeight="1">
      <c r="B650" t="str">
        <f t="shared" si="25"/>
        <v>615011</v>
      </c>
      <c r="C650" s="179">
        <v>615011199008</v>
      </c>
      <c r="D650" t="s">
        <v>831</v>
      </c>
      <c r="E650" s="179"/>
      <c r="F650" s="179"/>
      <c r="G650" s="179">
        <v>478501.41</v>
      </c>
      <c r="H650" s="179"/>
      <c r="I650" s="179"/>
      <c r="J650" s="191">
        <v>2307.9899999999998</v>
      </c>
      <c r="K650" s="191">
        <v>662429.79</v>
      </c>
      <c r="L650" s="185">
        <v>50</v>
      </c>
      <c r="N650" s="192" t="s">
        <v>124</v>
      </c>
      <c r="O650" t="s">
        <v>773</v>
      </c>
      <c r="P650" t="s">
        <v>741</v>
      </c>
      <c r="Q650" s="197" t="s">
        <v>769</v>
      </c>
    </row>
    <row r="651" spans="2:17" ht="16.5" hidden="1" customHeight="1">
      <c r="B651" t="str">
        <f t="shared" si="25"/>
        <v>615011</v>
      </c>
      <c r="C651" s="179">
        <v>615011101014</v>
      </c>
      <c r="D651" t="s">
        <v>832</v>
      </c>
      <c r="E651" s="179"/>
      <c r="F651" s="179"/>
      <c r="G651" s="179">
        <v>21</v>
      </c>
      <c r="H651" s="179"/>
      <c r="I651" s="179"/>
      <c r="J651" s="191">
        <v>158035</v>
      </c>
      <c r="K651" s="191">
        <v>2064</v>
      </c>
      <c r="L651" s="185">
        <v>50</v>
      </c>
      <c r="N651" s="192" t="s">
        <v>124</v>
      </c>
      <c r="O651" t="s">
        <v>773</v>
      </c>
      <c r="P651" t="s">
        <v>741</v>
      </c>
      <c r="Q651" s="197" t="s">
        <v>769</v>
      </c>
    </row>
    <row r="652" spans="2:17" ht="16.5" hidden="1" customHeight="1">
      <c r="B652" t="str">
        <f t="shared" si="25"/>
        <v>615041</v>
      </c>
      <c r="C652" s="179">
        <v>615041101001</v>
      </c>
      <c r="D652" t="s">
        <v>833</v>
      </c>
      <c r="E652" s="179"/>
      <c r="F652" s="179">
        <v>403695.5</v>
      </c>
      <c r="G652" s="179">
        <v>12099.91</v>
      </c>
      <c r="H652" s="179"/>
      <c r="I652" s="179"/>
      <c r="J652" s="191">
        <v>633940.79</v>
      </c>
      <c r="K652" s="191">
        <v>12778.4</v>
      </c>
      <c r="L652" s="185">
        <v>50</v>
      </c>
      <c r="N652" s="192" t="s">
        <v>124</v>
      </c>
      <c r="O652" t="s">
        <v>834</v>
      </c>
      <c r="P652" t="s">
        <v>741</v>
      </c>
      <c r="Q652" s="197" t="s">
        <v>769</v>
      </c>
    </row>
    <row r="653" spans="2:17" ht="16.5" hidden="1" customHeight="1">
      <c r="B653" t="str">
        <f t="shared" si="25"/>
        <v>615041</v>
      </c>
      <c r="C653" s="179">
        <v>615041101002</v>
      </c>
      <c r="D653" t="s">
        <v>835</v>
      </c>
      <c r="E653" s="179"/>
      <c r="F653" s="179">
        <v>0</v>
      </c>
      <c r="G653" s="179">
        <v>58042.13</v>
      </c>
      <c r="H653" s="179"/>
      <c r="I653" s="179"/>
      <c r="J653" s="191">
        <v>0</v>
      </c>
      <c r="K653" s="191">
        <v>100262.04</v>
      </c>
      <c r="L653" s="185">
        <v>50</v>
      </c>
      <c r="N653" s="192" t="s">
        <v>124</v>
      </c>
      <c r="O653" t="s">
        <v>834</v>
      </c>
      <c r="P653" t="s">
        <v>741</v>
      </c>
      <c r="Q653" s="197" t="s">
        <v>769</v>
      </c>
    </row>
    <row r="654" spans="2:17" ht="16.5" hidden="1" customHeight="1">
      <c r="B654" t="str">
        <f t="shared" si="25"/>
        <v>615041</v>
      </c>
      <c r="C654" s="179">
        <v>615041101004</v>
      </c>
      <c r="D654" t="s">
        <v>836</v>
      </c>
      <c r="E654" s="179"/>
      <c r="F654" s="179">
        <v>50175.96</v>
      </c>
      <c r="G654" s="179">
        <v>8733.06</v>
      </c>
      <c r="H654" s="179"/>
      <c r="I654" s="179"/>
      <c r="J654" s="191">
        <v>78688.52</v>
      </c>
      <c r="K654" s="191">
        <v>11941.55</v>
      </c>
      <c r="L654" s="185">
        <v>50</v>
      </c>
      <c r="N654" s="192" t="s">
        <v>124</v>
      </c>
      <c r="O654" t="s">
        <v>834</v>
      </c>
      <c r="P654" t="s">
        <v>741</v>
      </c>
      <c r="Q654" s="197" t="s">
        <v>769</v>
      </c>
    </row>
    <row r="655" spans="2:17" ht="16.5" hidden="1" customHeight="1">
      <c r="B655" t="str">
        <f t="shared" si="25"/>
        <v>615041</v>
      </c>
      <c r="C655" s="179">
        <v>615041101005</v>
      </c>
      <c r="D655" t="s">
        <v>837</v>
      </c>
      <c r="E655" s="179"/>
      <c r="F655" s="179">
        <v>528.79</v>
      </c>
      <c r="G655" s="179">
        <v>54485.36</v>
      </c>
      <c r="H655" s="179"/>
      <c r="I655" s="179"/>
      <c r="J655" s="191">
        <v>35793.65</v>
      </c>
      <c r="K655" s="191">
        <v>54485.36</v>
      </c>
      <c r="L655" s="185">
        <v>50</v>
      </c>
      <c r="N655" s="192" t="s">
        <v>124</v>
      </c>
      <c r="O655" t="s">
        <v>834</v>
      </c>
      <c r="P655" t="s">
        <v>741</v>
      </c>
      <c r="Q655" s="197" t="s">
        <v>769</v>
      </c>
    </row>
    <row r="656" spans="2:17" ht="16.5" hidden="1" customHeight="1">
      <c r="B656" t="str">
        <f t="shared" si="25"/>
        <v>615041</v>
      </c>
      <c r="C656" s="179">
        <v>615041101006</v>
      </c>
      <c r="D656" t="s">
        <v>838</v>
      </c>
      <c r="E656" s="179"/>
      <c r="F656" s="179">
        <v>66193.320000000007</v>
      </c>
      <c r="G656" s="179">
        <v>-22.88</v>
      </c>
      <c r="H656" s="179"/>
      <c r="I656" s="179"/>
      <c r="J656" s="191">
        <v>89365.47</v>
      </c>
      <c r="K656" s="191">
        <v>6558.08</v>
      </c>
      <c r="L656" s="185">
        <v>50</v>
      </c>
      <c r="N656" s="192" t="s">
        <v>124</v>
      </c>
      <c r="O656" t="s">
        <v>834</v>
      </c>
      <c r="P656" t="s">
        <v>741</v>
      </c>
      <c r="Q656" s="197" t="s">
        <v>769</v>
      </c>
    </row>
    <row r="657" spans="2:17" ht="16.5" hidden="1" customHeight="1">
      <c r="B657" t="str">
        <f t="shared" ref="B657:B688" si="26">LEFT(C657,6)</f>
        <v>615041</v>
      </c>
      <c r="C657" s="179">
        <v>615041101007</v>
      </c>
      <c r="D657" t="s">
        <v>839</v>
      </c>
      <c r="E657" s="179"/>
      <c r="F657" s="179">
        <v>77292.62</v>
      </c>
      <c r="G657" s="179">
        <v>361977.24</v>
      </c>
      <c r="H657" s="179"/>
      <c r="I657" s="179"/>
      <c r="J657" s="191">
        <v>136714.78</v>
      </c>
      <c r="K657" s="191">
        <v>334079.81</v>
      </c>
      <c r="L657" s="185">
        <v>50</v>
      </c>
      <c r="N657" s="192" t="s">
        <v>124</v>
      </c>
      <c r="O657" t="s">
        <v>834</v>
      </c>
      <c r="P657" t="s">
        <v>741</v>
      </c>
      <c r="Q657" s="197" t="s">
        <v>769</v>
      </c>
    </row>
    <row r="658" spans="2:17" ht="16.5" hidden="1" customHeight="1">
      <c r="B658" t="str">
        <f t="shared" si="26"/>
        <v>615041</v>
      </c>
      <c r="C658" s="179">
        <v>615041101008</v>
      </c>
      <c r="D658" t="s">
        <v>840</v>
      </c>
      <c r="E658" s="179"/>
      <c r="F658" s="179">
        <v>133900.12</v>
      </c>
      <c r="G658" s="179">
        <v>94399.62</v>
      </c>
      <c r="H658" s="179"/>
      <c r="I658" s="179"/>
      <c r="J658" s="191">
        <v>266868.09999999998</v>
      </c>
      <c r="K658" s="191">
        <v>11245.22</v>
      </c>
      <c r="L658" s="185">
        <v>50</v>
      </c>
      <c r="N658" s="192" t="s">
        <v>124</v>
      </c>
      <c r="O658" t="s">
        <v>834</v>
      </c>
      <c r="P658" t="s">
        <v>741</v>
      </c>
      <c r="Q658" s="197" t="s">
        <v>769</v>
      </c>
    </row>
    <row r="659" spans="2:17" ht="16.5" hidden="1" customHeight="1">
      <c r="B659" t="str">
        <f t="shared" si="26"/>
        <v>615041</v>
      </c>
      <c r="C659" s="179">
        <v>615041101009</v>
      </c>
      <c r="D659" t="s">
        <v>841</v>
      </c>
      <c r="E659" s="179"/>
      <c r="F659" s="179">
        <v>36996.85</v>
      </c>
      <c r="G659" s="179">
        <v>7985</v>
      </c>
      <c r="H659" s="179"/>
      <c r="I659" s="179"/>
      <c r="J659" s="191">
        <v>81450.77</v>
      </c>
      <c r="K659" s="191">
        <v>12580.5</v>
      </c>
      <c r="L659" s="185">
        <v>50</v>
      </c>
      <c r="N659" s="192" t="s">
        <v>124</v>
      </c>
      <c r="O659" t="s">
        <v>834</v>
      </c>
      <c r="P659" t="s">
        <v>741</v>
      </c>
      <c r="Q659" s="197" t="s">
        <v>769</v>
      </c>
    </row>
    <row r="660" spans="2:17" ht="16.5" hidden="1" customHeight="1">
      <c r="B660" t="str">
        <f t="shared" si="26"/>
        <v>615041</v>
      </c>
      <c r="C660" s="179">
        <v>615041101010</v>
      </c>
      <c r="D660" t="s">
        <v>842</v>
      </c>
      <c r="E660" s="179"/>
      <c r="F660" s="179">
        <v>183599.84</v>
      </c>
      <c r="G660" s="179">
        <v>163355.48000000001</v>
      </c>
      <c r="H660" s="179"/>
      <c r="I660" s="179"/>
      <c r="J660" s="191">
        <v>150329.13</v>
      </c>
      <c r="K660" s="191">
        <v>169955.48</v>
      </c>
      <c r="L660" s="185">
        <v>50</v>
      </c>
      <c r="N660" s="192" t="s">
        <v>124</v>
      </c>
      <c r="O660" t="s">
        <v>834</v>
      </c>
      <c r="P660" t="s">
        <v>741</v>
      </c>
      <c r="Q660" s="197" t="s">
        <v>769</v>
      </c>
    </row>
    <row r="661" spans="2:17" ht="16.5" hidden="1" customHeight="1">
      <c r="B661" t="str">
        <f t="shared" si="26"/>
        <v>615041</v>
      </c>
      <c r="C661" s="179">
        <v>615041101011</v>
      </c>
      <c r="D661" t="s">
        <v>843</v>
      </c>
      <c r="E661" s="179"/>
      <c r="F661" s="179">
        <v>10306.33</v>
      </c>
      <c r="G661" s="179">
        <v>21493.46</v>
      </c>
      <c r="H661" s="179"/>
      <c r="I661" s="179"/>
      <c r="J661" s="191">
        <v>20302.36</v>
      </c>
      <c r="K661" s="191">
        <v>35774.71</v>
      </c>
      <c r="L661" s="185">
        <v>50</v>
      </c>
      <c r="N661" s="192" t="s">
        <v>124</v>
      </c>
      <c r="O661" t="s">
        <v>834</v>
      </c>
      <c r="P661" t="s">
        <v>741</v>
      </c>
      <c r="Q661" s="197" t="s">
        <v>769</v>
      </c>
    </row>
    <row r="662" spans="2:17" ht="16.5" hidden="1" customHeight="1">
      <c r="B662" t="str">
        <f t="shared" si="26"/>
        <v>615041</v>
      </c>
      <c r="C662" s="179">
        <v>615041101012</v>
      </c>
      <c r="D662" t="s">
        <v>844</v>
      </c>
      <c r="E662" s="179"/>
      <c r="F662" s="179">
        <v>42923.82</v>
      </c>
      <c r="G662" s="179">
        <v>176660.78</v>
      </c>
      <c r="H662" s="179"/>
      <c r="I662" s="179"/>
      <c r="J662" s="191">
        <v>3516.1</v>
      </c>
      <c r="K662" s="191">
        <v>296912.42</v>
      </c>
      <c r="L662" s="185">
        <v>50</v>
      </c>
      <c r="N662" s="192" t="s">
        <v>124</v>
      </c>
      <c r="O662" t="s">
        <v>834</v>
      </c>
      <c r="P662" t="s">
        <v>741</v>
      </c>
      <c r="Q662" s="197" t="s">
        <v>769</v>
      </c>
    </row>
    <row r="663" spans="2:17" ht="16.5" hidden="1" customHeight="1">
      <c r="B663" t="str">
        <f t="shared" si="26"/>
        <v>615041</v>
      </c>
      <c r="C663" s="179">
        <v>615041101013</v>
      </c>
      <c r="D663" t="s">
        <v>845</v>
      </c>
      <c r="E663" s="179"/>
      <c r="F663" s="179">
        <v>3563.3</v>
      </c>
      <c r="G663" s="179">
        <v>42255.56</v>
      </c>
      <c r="H663" s="179"/>
      <c r="I663" s="179"/>
      <c r="J663" s="191">
        <v>3887.21</v>
      </c>
      <c r="K663" s="191">
        <v>72040.23</v>
      </c>
      <c r="L663" s="185">
        <v>50</v>
      </c>
      <c r="N663" s="192" t="s">
        <v>124</v>
      </c>
      <c r="O663" t="s">
        <v>834</v>
      </c>
      <c r="P663" t="s">
        <v>741</v>
      </c>
      <c r="Q663" s="197" t="s">
        <v>769</v>
      </c>
    </row>
    <row r="664" spans="2:17" ht="16.5" hidden="1" customHeight="1">
      <c r="B664" t="str">
        <f t="shared" si="26"/>
        <v>615041</v>
      </c>
      <c r="C664" s="179">
        <v>615041101015</v>
      </c>
      <c r="D664" t="s">
        <v>846</v>
      </c>
      <c r="E664" s="179"/>
      <c r="F664" s="179">
        <v>1000</v>
      </c>
      <c r="G664" s="179">
        <v>61066.33</v>
      </c>
      <c r="H664" s="179"/>
      <c r="I664" s="179"/>
      <c r="J664" s="191">
        <v>0</v>
      </c>
      <c r="K664" s="191">
        <v>94727.93</v>
      </c>
      <c r="L664" s="185">
        <v>50</v>
      </c>
      <c r="N664" s="192" t="s">
        <v>124</v>
      </c>
      <c r="O664" t="s">
        <v>834</v>
      </c>
      <c r="P664" t="s">
        <v>741</v>
      </c>
      <c r="Q664" s="197" t="s">
        <v>769</v>
      </c>
    </row>
    <row r="665" spans="2:17" ht="16.5" hidden="1" customHeight="1">
      <c r="B665" t="str">
        <f t="shared" si="26"/>
        <v>615041</v>
      </c>
      <c r="C665" s="179">
        <v>615041101016</v>
      </c>
      <c r="D665" t="s">
        <v>847</v>
      </c>
      <c r="E665" s="179"/>
      <c r="F665" s="179">
        <v>26290.67</v>
      </c>
      <c r="G665" s="179">
        <v>337.5</v>
      </c>
      <c r="H665" s="179"/>
      <c r="I665" s="179"/>
      <c r="J665" s="191">
        <v>9655.2999999999993</v>
      </c>
      <c r="K665" s="191">
        <v>2457.1</v>
      </c>
      <c r="L665" s="185">
        <v>50</v>
      </c>
      <c r="N665" s="192" t="s">
        <v>124</v>
      </c>
      <c r="O665" t="s">
        <v>834</v>
      </c>
      <c r="P665" t="s">
        <v>741</v>
      </c>
      <c r="Q665" s="197" t="s">
        <v>769</v>
      </c>
    </row>
    <row r="666" spans="2:17" ht="16.5" hidden="1" customHeight="1">
      <c r="B666" t="str">
        <f t="shared" si="26"/>
        <v>615041</v>
      </c>
      <c r="C666" s="179">
        <v>615041101017</v>
      </c>
      <c r="D666" t="s">
        <v>848</v>
      </c>
      <c r="E666" s="179"/>
      <c r="F666" s="179">
        <v>4871.9399999999996</v>
      </c>
      <c r="G666" s="179">
        <v>11323.81</v>
      </c>
      <c r="H666" s="179"/>
      <c r="I666" s="179"/>
      <c r="J666" s="191">
        <v>3106.21</v>
      </c>
      <c r="K666" s="191">
        <v>13224.38</v>
      </c>
      <c r="L666" s="185">
        <v>50</v>
      </c>
      <c r="N666" s="182" t="s">
        <v>124</v>
      </c>
      <c r="O666" t="s">
        <v>834</v>
      </c>
      <c r="P666" t="s">
        <v>741</v>
      </c>
      <c r="Q666" s="197" t="s">
        <v>769</v>
      </c>
    </row>
    <row r="667" spans="2:17" ht="16.5" hidden="1" customHeight="1">
      <c r="B667" t="str">
        <f t="shared" si="26"/>
        <v>615041</v>
      </c>
      <c r="C667" s="179">
        <v>615041101018</v>
      </c>
      <c r="D667" t="s">
        <v>849</v>
      </c>
      <c r="E667" s="179"/>
      <c r="F667" s="179">
        <v>0</v>
      </c>
      <c r="G667" s="179">
        <v>0</v>
      </c>
      <c r="H667" s="179"/>
      <c r="I667" s="179"/>
      <c r="J667" s="191">
        <v>0</v>
      </c>
      <c r="K667" s="191">
        <v>0</v>
      </c>
      <c r="L667" s="185">
        <v>50</v>
      </c>
      <c r="N667" s="182" t="s">
        <v>124</v>
      </c>
      <c r="O667" t="s">
        <v>834</v>
      </c>
      <c r="P667" t="s">
        <v>741</v>
      </c>
      <c r="Q667" s="197" t="s">
        <v>769</v>
      </c>
    </row>
    <row r="668" spans="2:17" ht="16.5" hidden="1" customHeight="1">
      <c r="B668" t="str">
        <f t="shared" si="26"/>
        <v>615041</v>
      </c>
      <c r="C668" s="179">
        <v>615041102001</v>
      </c>
      <c r="D668" t="s">
        <v>850</v>
      </c>
      <c r="E668" s="179"/>
      <c r="F668" s="179">
        <v>833388.41</v>
      </c>
      <c r="G668" s="179">
        <v>5739111.0899999999</v>
      </c>
      <c r="H668" s="179"/>
      <c r="I668" s="179">
        <v>-3846809</v>
      </c>
      <c r="J668" s="191">
        <v>901635.35</v>
      </c>
      <c r="K668" s="191">
        <v>5929921.5499999998</v>
      </c>
      <c r="L668" s="185">
        <v>50</v>
      </c>
      <c r="N668" s="182" t="s">
        <v>124</v>
      </c>
      <c r="O668" t="s">
        <v>834</v>
      </c>
      <c r="P668" t="s">
        <v>741</v>
      </c>
      <c r="Q668" t="s">
        <v>785</v>
      </c>
    </row>
    <row r="669" spans="2:17" ht="16.5" hidden="1" customHeight="1">
      <c r="B669" t="str">
        <f t="shared" si="26"/>
        <v>615041</v>
      </c>
      <c r="C669" s="179">
        <v>615041102003</v>
      </c>
      <c r="D669" t="s">
        <v>851</v>
      </c>
      <c r="E669" s="179"/>
      <c r="F669" s="179">
        <v>31034.57</v>
      </c>
      <c r="G669" s="179">
        <v>0</v>
      </c>
      <c r="H669" s="179"/>
      <c r="I669" s="179"/>
      <c r="J669" s="191">
        <v>33806.559999999998</v>
      </c>
      <c r="K669" s="191">
        <v>0</v>
      </c>
      <c r="L669" s="185">
        <v>50</v>
      </c>
      <c r="N669" s="182" t="s">
        <v>124</v>
      </c>
      <c r="O669" t="s">
        <v>834</v>
      </c>
      <c r="P669" t="s">
        <v>741</v>
      </c>
      <c r="Q669" t="s">
        <v>785</v>
      </c>
    </row>
    <row r="670" spans="2:17" ht="16.5" hidden="1" customHeight="1">
      <c r="B670" t="str">
        <f t="shared" si="26"/>
        <v>615041</v>
      </c>
      <c r="C670" s="179">
        <v>615041102004</v>
      </c>
      <c r="D670" t="s">
        <v>852</v>
      </c>
      <c r="E670" s="179"/>
      <c r="F670" s="179">
        <v>98491.61</v>
      </c>
      <c r="G670" s="179">
        <v>0</v>
      </c>
      <c r="H670" s="179"/>
      <c r="I670" s="179"/>
      <c r="J670" s="191">
        <v>109409.46</v>
      </c>
      <c r="K670" s="191">
        <v>407.39</v>
      </c>
      <c r="L670" s="185">
        <v>50</v>
      </c>
      <c r="N670" s="182" t="s">
        <v>124</v>
      </c>
      <c r="O670" t="s">
        <v>834</v>
      </c>
      <c r="P670" t="s">
        <v>741</v>
      </c>
      <c r="Q670" t="s">
        <v>785</v>
      </c>
    </row>
    <row r="671" spans="2:17" ht="16.5" hidden="1" customHeight="1">
      <c r="B671" t="str">
        <f t="shared" si="26"/>
        <v>615041</v>
      </c>
      <c r="C671" s="179">
        <v>615041111001</v>
      </c>
      <c r="D671" t="s">
        <v>853</v>
      </c>
      <c r="E671" s="179"/>
      <c r="F671" s="179">
        <v>11408.14</v>
      </c>
      <c r="G671" s="179">
        <v>88625.67</v>
      </c>
      <c r="H671" s="179"/>
      <c r="I671" s="179"/>
      <c r="J671" s="191">
        <v>35989.67</v>
      </c>
      <c r="K671" s="191">
        <v>153916.51</v>
      </c>
      <c r="L671" s="185">
        <v>50</v>
      </c>
      <c r="N671" s="182" t="s">
        <v>124</v>
      </c>
      <c r="O671" t="s">
        <v>834</v>
      </c>
      <c r="P671" t="s">
        <v>741</v>
      </c>
      <c r="Q671" t="s">
        <v>785</v>
      </c>
    </row>
    <row r="672" spans="2:17" ht="16.5" hidden="1" customHeight="1">
      <c r="B672" t="str">
        <f t="shared" si="26"/>
        <v>615041</v>
      </c>
      <c r="C672" s="179">
        <v>615041111002</v>
      </c>
      <c r="D672" t="s">
        <v>854</v>
      </c>
      <c r="E672" s="179"/>
      <c r="F672" s="179">
        <v>14010.49</v>
      </c>
      <c r="G672" s="179">
        <v>68020.820000000007</v>
      </c>
      <c r="H672" s="179"/>
      <c r="I672" s="179"/>
      <c r="J672" s="191">
        <v>16379.92</v>
      </c>
      <c r="K672" s="191">
        <v>125731.43</v>
      </c>
      <c r="L672" s="185">
        <v>50</v>
      </c>
      <c r="N672" s="182" t="s">
        <v>124</v>
      </c>
      <c r="O672" t="s">
        <v>834</v>
      </c>
      <c r="P672" t="s">
        <v>741</v>
      </c>
      <c r="Q672" s="197" t="s">
        <v>226</v>
      </c>
    </row>
    <row r="673" spans="2:17" ht="16.5" hidden="1" customHeight="1">
      <c r="B673" t="str">
        <f t="shared" si="26"/>
        <v>615041</v>
      </c>
      <c r="C673" s="179">
        <v>615041111003</v>
      </c>
      <c r="D673" t="s">
        <v>855</v>
      </c>
      <c r="E673" s="179"/>
      <c r="F673" s="179">
        <v>7184.07</v>
      </c>
      <c r="G673" s="179">
        <v>24877.67</v>
      </c>
      <c r="H673" s="179"/>
      <c r="I673" s="179"/>
      <c r="J673" s="191">
        <v>8006.85</v>
      </c>
      <c r="K673" s="191">
        <v>2750</v>
      </c>
      <c r="L673" s="185">
        <v>50</v>
      </c>
      <c r="N673" s="182" t="s">
        <v>124</v>
      </c>
      <c r="O673" t="s">
        <v>834</v>
      </c>
      <c r="P673" t="s">
        <v>741</v>
      </c>
      <c r="Q673" s="197" t="s">
        <v>226</v>
      </c>
    </row>
    <row r="674" spans="2:17" ht="16.5" hidden="1" customHeight="1">
      <c r="B674" t="str">
        <f t="shared" si="26"/>
        <v>615041</v>
      </c>
      <c r="C674" s="179">
        <v>615041111004</v>
      </c>
      <c r="D674" t="s">
        <v>799</v>
      </c>
      <c r="E674" s="179"/>
      <c r="F674" s="179">
        <v>22829.37</v>
      </c>
      <c r="G674" s="179">
        <v>11506.22</v>
      </c>
      <c r="H674" s="179">
        <f>-I618</f>
        <v>0</v>
      </c>
      <c r="I674" s="179"/>
      <c r="J674" s="191">
        <v>6896.46</v>
      </c>
      <c r="K674" s="191">
        <v>90664.59</v>
      </c>
      <c r="L674" s="185">
        <v>50</v>
      </c>
      <c r="N674" s="182" t="s">
        <v>124</v>
      </c>
      <c r="O674" t="s">
        <v>834</v>
      </c>
      <c r="P674" t="s">
        <v>741</v>
      </c>
      <c r="Q674" s="197" t="s">
        <v>788</v>
      </c>
    </row>
    <row r="675" spans="2:17" ht="16.5" hidden="1" customHeight="1">
      <c r="B675" t="str">
        <f t="shared" si="26"/>
        <v>615041</v>
      </c>
      <c r="C675" s="179">
        <v>615041111005</v>
      </c>
      <c r="D675" t="s">
        <v>856</v>
      </c>
      <c r="E675" s="179"/>
      <c r="F675" s="179">
        <v>7576.06</v>
      </c>
      <c r="G675" s="179">
        <v>180913.33</v>
      </c>
      <c r="H675" s="179"/>
      <c r="I675" s="179"/>
      <c r="J675" s="191">
        <v>12477.31</v>
      </c>
      <c r="K675" s="191">
        <v>270228.17</v>
      </c>
      <c r="L675" s="185">
        <v>50</v>
      </c>
      <c r="N675" s="182" t="s">
        <v>124</v>
      </c>
      <c r="O675" t="s">
        <v>834</v>
      </c>
      <c r="P675" t="s">
        <v>741</v>
      </c>
      <c r="Q675" s="197" t="s">
        <v>790</v>
      </c>
    </row>
    <row r="676" spans="2:17" ht="16.5" hidden="1" customHeight="1">
      <c r="B676" t="str">
        <f t="shared" si="26"/>
        <v>615041</v>
      </c>
      <c r="C676" s="179">
        <v>615041121001</v>
      </c>
      <c r="D676" t="s">
        <v>857</v>
      </c>
      <c r="E676" s="179"/>
      <c r="F676" s="179">
        <v>54409.75</v>
      </c>
      <c r="G676" s="179">
        <v>42735.83</v>
      </c>
      <c r="H676" s="179"/>
      <c r="I676" s="179"/>
      <c r="J676" s="191">
        <v>41304.410000000003</v>
      </c>
      <c r="K676" s="191">
        <v>42735.83</v>
      </c>
      <c r="L676" s="185">
        <v>50</v>
      </c>
      <c r="N676" s="182" t="s">
        <v>124</v>
      </c>
      <c r="O676" t="s">
        <v>834</v>
      </c>
      <c r="P676" t="s">
        <v>741</v>
      </c>
      <c r="Q676" s="197" t="s">
        <v>790</v>
      </c>
    </row>
    <row r="677" spans="2:17" ht="16.5" hidden="1" customHeight="1">
      <c r="B677" t="str">
        <f t="shared" si="26"/>
        <v>615041</v>
      </c>
      <c r="C677" s="179">
        <v>615041121002</v>
      </c>
      <c r="D677" t="s">
        <v>858</v>
      </c>
      <c r="E677" s="179"/>
      <c r="F677" s="179">
        <v>10871901.24</v>
      </c>
      <c r="G677" s="179">
        <v>0</v>
      </c>
      <c r="H677" s="179"/>
      <c r="I677" s="179"/>
      <c r="J677" s="191">
        <v>686679.98</v>
      </c>
      <c r="K677" s="191">
        <v>0</v>
      </c>
      <c r="L677" s="185">
        <v>50</v>
      </c>
      <c r="N677" s="182" t="s">
        <v>124</v>
      </c>
      <c r="O677" t="s">
        <v>834</v>
      </c>
      <c r="P677" t="s">
        <v>741</v>
      </c>
      <c r="Q677" s="197" t="s">
        <v>790</v>
      </c>
    </row>
    <row r="678" spans="2:17" ht="16.5" hidden="1" customHeight="1">
      <c r="B678" t="str">
        <f t="shared" si="26"/>
        <v>615041</v>
      </c>
      <c r="C678" s="179">
        <v>615041121003</v>
      </c>
      <c r="D678" t="s">
        <v>858</v>
      </c>
      <c r="E678" s="179"/>
      <c r="F678" s="179">
        <v>0</v>
      </c>
      <c r="G678" s="179">
        <v>0</v>
      </c>
      <c r="H678" s="179"/>
      <c r="I678" s="179"/>
      <c r="J678" s="191">
        <v>2064</v>
      </c>
      <c r="K678" s="191">
        <v>0</v>
      </c>
      <c r="L678" s="185">
        <v>50</v>
      </c>
      <c r="N678" s="182" t="s">
        <v>124</v>
      </c>
      <c r="O678" t="s">
        <v>834</v>
      </c>
      <c r="P678" t="s">
        <v>741</v>
      </c>
      <c r="Q678" s="197" t="s">
        <v>790</v>
      </c>
    </row>
    <row r="679" spans="2:17" ht="16.5" hidden="1" customHeight="1">
      <c r="B679" t="str">
        <f t="shared" si="26"/>
        <v>615041</v>
      </c>
      <c r="C679" s="179">
        <v>615041121004</v>
      </c>
      <c r="D679" t="s">
        <v>859</v>
      </c>
      <c r="E679" s="179"/>
      <c r="F679" s="179">
        <v>11220.48</v>
      </c>
      <c r="G679" s="179">
        <v>0</v>
      </c>
      <c r="H679" s="179"/>
      <c r="I679" s="179"/>
      <c r="J679" s="191">
        <v>13626.2</v>
      </c>
      <c r="K679" s="191">
        <v>0</v>
      </c>
      <c r="L679" s="185">
        <v>50</v>
      </c>
      <c r="N679" s="182" t="s">
        <v>124</v>
      </c>
      <c r="O679" t="s">
        <v>834</v>
      </c>
      <c r="P679" t="s">
        <v>741</v>
      </c>
      <c r="Q679" s="197" t="s">
        <v>226</v>
      </c>
    </row>
    <row r="680" spans="2:17" ht="16.5" hidden="1" customHeight="1">
      <c r="B680" t="str">
        <f t="shared" si="26"/>
        <v>615041</v>
      </c>
      <c r="C680" s="179">
        <v>615041121005</v>
      </c>
      <c r="D680" t="s">
        <v>806</v>
      </c>
      <c r="E680" s="179"/>
      <c r="F680" s="179">
        <v>87325.03</v>
      </c>
      <c r="G680" s="179">
        <v>642.53</v>
      </c>
      <c r="H680" s="179"/>
      <c r="I680" s="179"/>
      <c r="J680" s="191">
        <v>108426.87</v>
      </c>
      <c r="K680" s="191">
        <v>0</v>
      </c>
      <c r="L680" s="185">
        <v>50</v>
      </c>
      <c r="N680" s="182" t="s">
        <v>124</v>
      </c>
      <c r="O680" t="s">
        <v>834</v>
      </c>
      <c r="P680" t="s">
        <v>741</v>
      </c>
      <c r="Q680" s="197" t="s">
        <v>226</v>
      </c>
    </row>
    <row r="681" spans="2:17" ht="16.5" hidden="1" customHeight="1">
      <c r="B681" t="str">
        <f t="shared" si="26"/>
        <v>615041</v>
      </c>
      <c r="C681" s="179">
        <v>615041121006</v>
      </c>
      <c r="D681" t="s">
        <v>860</v>
      </c>
      <c r="E681" s="179"/>
      <c r="F681" s="179">
        <v>16318.11</v>
      </c>
      <c r="G681" s="179">
        <v>1748.85</v>
      </c>
      <c r="H681" s="179"/>
      <c r="I681" s="179"/>
      <c r="J681" s="191">
        <v>12327.1</v>
      </c>
      <c r="K681" s="191">
        <v>2828.93</v>
      </c>
      <c r="L681" s="185">
        <v>50</v>
      </c>
      <c r="N681" s="182" t="s">
        <v>124</v>
      </c>
      <c r="O681" t="s">
        <v>834</v>
      </c>
      <c r="P681" t="s">
        <v>741</v>
      </c>
      <c r="Q681" s="197" t="s">
        <v>226</v>
      </c>
    </row>
    <row r="682" spans="2:17" ht="16.5" hidden="1" customHeight="1">
      <c r="B682" t="str">
        <f t="shared" si="26"/>
        <v>615041</v>
      </c>
      <c r="C682" s="179">
        <v>615041121007</v>
      </c>
      <c r="D682" t="s">
        <v>807</v>
      </c>
      <c r="E682" s="179"/>
      <c r="F682" s="179">
        <v>4087</v>
      </c>
      <c r="G682" s="179">
        <v>13231.67</v>
      </c>
      <c r="H682" s="179"/>
      <c r="I682" s="179"/>
      <c r="J682" s="191">
        <v>54485.36</v>
      </c>
      <c r="K682" s="191">
        <v>13371.12</v>
      </c>
      <c r="L682" s="185">
        <v>50</v>
      </c>
      <c r="N682" s="182" t="s">
        <v>124</v>
      </c>
      <c r="O682" t="s">
        <v>834</v>
      </c>
      <c r="P682" t="s">
        <v>741</v>
      </c>
      <c r="Q682" s="197" t="s">
        <v>226</v>
      </c>
    </row>
    <row r="683" spans="2:17" ht="16.5" hidden="1" customHeight="1">
      <c r="B683" t="str">
        <f t="shared" si="26"/>
        <v>615041</v>
      </c>
      <c r="C683" s="179">
        <v>615041121008</v>
      </c>
      <c r="D683" t="s">
        <v>861</v>
      </c>
      <c r="E683" s="179"/>
      <c r="F683" s="179">
        <v>2568.66</v>
      </c>
      <c r="G683" s="179">
        <v>11266.52</v>
      </c>
      <c r="H683" s="179"/>
      <c r="I683" s="179"/>
      <c r="J683" s="191">
        <v>6733.32</v>
      </c>
      <c r="K683" s="191">
        <v>23286.79</v>
      </c>
      <c r="L683" s="185">
        <v>50</v>
      </c>
      <c r="N683" s="182" t="s">
        <v>124</v>
      </c>
      <c r="O683" t="s">
        <v>834</v>
      </c>
      <c r="P683" t="s">
        <v>741</v>
      </c>
      <c r="Q683" s="197" t="s">
        <v>226</v>
      </c>
    </row>
    <row r="684" spans="2:17" ht="16.5" hidden="1" customHeight="1">
      <c r="B684" t="str">
        <f t="shared" si="26"/>
        <v>615041</v>
      </c>
      <c r="C684" s="179">
        <v>615041121009</v>
      </c>
      <c r="D684" t="s">
        <v>862</v>
      </c>
      <c r="E684" s="179"/>
      <c r="F684" s="179">
        <v>553614.57999999996</v>
      </c>
      <c r="G684" s="179">
        <v>162351.88</v>
      </c>
      <c r="H684" s="179"/>
      <c r="I684" s="179"/>
      <c r="J684" s="191">
        <v>351157.76000000001</v>
      </c>
      <c r="K684" s="191">
        <v>0</v>
      </c>
      <c r="L684" s="185">
        <v>50</v>
      </c>
      <c r="N684" s="182" t="s">
        <v>124</v>
      </c>
      <c r="O684" t="s">
        <v>834</v>
      </c>
      <c r="P684" t="s">
        <v>741</v>
      </c>
      <c r="Q684" s="197" t="s">
        <v>226</v>
      </c>
    </row>
    <row r="685" spans="2:17" ht="16.5" hidden="1" customHeight="1">
      <c r="B685" t="str">
        <f t="shared" si="26"/>
        <v>615041</v>
      </c>
      <c r="C685" s="179">
        <v>615041121010</v>
      </c>
      <c r="D685" t="s">
        <v>863</v>
      </c>
      <c r="E685" s="179"/>
      <c r="F685" s="179">
        <v>8924</v>
      </c>
      <c r="G685" s="179">
        <v>223.54</v>
      </c>
      <c r="H685" s="179"/>
      <c r="I685" s="179"/>
      <c r="J685" s="191">
        <v>11355.22</v>
      </c>
      <c r="K685" s="191">
        <v>237.34</v>
      </c>
      <c r="L685" s="185">
        <v>50</v>
      </c>
      <c r="N685" s="182" t="s">
        <v>124</v>
      </c>
      <c r="O685" t="s">
        <v>834</v>
      </c>
      <c r="P685" t="s">
        <v>741</v>
      </c>
      <c r="Q685" s="197" t="s">
        <v>226</v>
      </c>
    </row>
    <row r="686" spans="2:17" ht="16.5" hidden="1" customHeight="1">
      <c r="B686" t="str">
        <f t="shared" si="26"/>
        <v>615041</v>
      </c>
      <c r="C686" s="179">
        <v>615041121011</v>
      </c>
      <c r="D686" t="s">
        <v>864</v>
      </c>
      <c r="E686" s="179"/>
      <c r="F686" s="179">
        <v>930</v>
      </c>
      <c r="G686" s="179">
        <v>0</v>
      </c>
      <c r="H686" s="179"/>
      <c r="I686" s="179"/>
      <c r="J686" s="191">
        <v>13930.5</v>
      </c>
      <c r="K686" s="191">
        <v>0</v>
      </c>
      <c r="L686" s="185">
        <v>50</v>
      </c>
      <c r="N686" s="182" t="s">
        <v>124</v>
      </c>
      <c r="O686" t="s">
        <v>834</v>
      </c>
      <c r="P686" t="s">
        <v>741</v>
      </c>
      <c r="Q686" s="197" t="s">
        <v>226</v>
      </c>
    </row>
    <row r="687" spans="2:17" ht="16.5" hidden="1" customHeight="1">
      <c r="B687" t="str">
        <f t="shared" si="26"/>
        <v>615041</v>
      </c>
      <c r="C687" s="179">
        <v>615041121012</v>
      </c>
      <c r="D687" t="s">
        <v>865</v>
      </c>
      <c r="E687" s="179"/>
      <c r="F687" s="179"/>
      <c r="G687" s="179">
        <v>8632.9599999999991</v>
      </c>
      <c r="H687" s="179"/>
      <c r="I687" s="179"/>
      <c r="J687" s="191">
        <v>169955.48</v>
      </c>
      <c r="K687" s="191">
        <v>29956.34</v>
      </c>
      <c r="L687" s="185">
        <v>50</v>
      </c>
      <c r="N687" s="182" t="s">
        <v>124</v>
      </c>
      <c r="O687" t="s">
        <v>834</v>
      </c>
      <c r="P687" t="s">
        <v>741</v>
      </c>
      <c r="Q687" s="197" t="s">
        <v>226</v>
      </c>
    </row>
    <row r="688" spans="2:17" ht="16.5" hidden="1" customHeight="1">
      <c r="B688" t="str">
        <f t="shared" si="26"/>
        <v>615041</v>
      </c>
      <c r="C688" s="179">
        <v>615041121013</v>
      </c>
      <c r="D688" t="s">
        <v>866</v>
      </c>
      <c r="E688" s="179"/>
      <c r="F688" s="179">
        <v>42731.82</v>
      </c>
      <c r="G688" s="179">
        <v>6460.7</v>
      </c>
      <c r="H688" s="179"/>
      <c r="I688" s="179"/>
      <c r="J688" s="191">
        <v>38610.31</v>
      </c>
      <c r="K688" s="191">
        <v>11568.17</v>
      </c>
      <c r="L688" s="185">
        <v>50</v>
      </c>
      <c r="N688" s="182" t="s">
        <v>124</v>
      </c>
      <c r="O688" t="s">
        <v>834</v>
      </c>
      <c r="P688" t="s">
        <v>741</v>
      </c>
      <c r="Q688" s="197" t="s">
        <v>226</v>
      </c>
    </row>
    <row r="689" spans="2:17" ht="16.5" hidden="1" customHeight="1">
      <c r="B689" t="str">
        <f t="shared" ref="B689:B720" si="27">LEFT(C689,6)</f>
        <v>615041</v>
      </c>
      <c r="C689" s="179">
        <v>615041121014</v>
      </c>
      <c r="D689" t="s">
        <v>814</v>
      </c>
      <c r="E689" s="179"/>
      <c r="F689" s="179">
        <v>193713.31</v>
      </c>
      <c r="G689" s="179">
        <v>3792</v>
      </c>
      <c r="H689" s="179"/>
      <c r="I689" s="179"/>
      <c r="J689" s="191">
        <v>312927.56</v>
      </c>
      <c r="K689" s="191">
        <v>2029.74</v>
      </c>
      <c r="L689" s="185">
        <v>50</v>
      </c>
      <c r="N689" s="182" t="s">
        <v>124</v>
      </c>
      <c r="O689" t="s">
        <v>834</v>
      </c>
      <c r="P689" t="s">
        <v>741</v>
      </c>
      <c r="Q689" s="197" t="s">
        <v>226</v>
      </c>
    </row>
    <row r="690" spans="2:17" ht="16.5" hidden="1" customHeight="1">
      <c r="B690" t="str">
        <f t="shared" si="27"/>
        <v>615041</v>
      </c>
      <c r="C690" s="179">
        <v>615041121015</v>
      </c>
      <c r="D690" t="s">
        <v>867</v>
      </c>
      <c r="E690" s="179"/>
      <c r="F690" s="179">
        <v>59436.08</v>
      </c>
      <c r="G690" s="179">
        <v>412.99</v>
      </c>
      <c r="H690" s="179"/>
      <c r="I690" s="179"/>
      <c r="J690" s="191">
        <v>73196.61</v>
      </c>
      <c r="K690" s="191">
        <v>412.99</v>
      </c>
      <c r="L690" s="185">
        <v>50</v>
      </c>
      <c r="N690" s="182" t="s">
        <v>124</v>
      </c>
      <c r="O690" t="s">
        <v>834</v>
      </c>
      <c r="P690" t="s">
        <v>741</v>
      </c>
      <c r="Q690" s="197" t="s">
        <v>226</v>
      </c>
    </row>
    <row r="691" spans="2:17" ht="16.5" hidden="1" customHeight="1">
      <c r="B691" t="str">
        <f t="shared" si="27"/>
        <v>615041</v>
      </c>
      <c r="C691" s="179">
        <v>615041121016</v>
      </c>
      <c r="D691" t="s">
        <v>868</v>
      </c>
      <c r="E691" s="179"/>
      <c r="F691" s="179">
        <v>134651.38</v>
      </c>
      <c r="G691" s="179">
        <v>-3236587.68</v>
      </c>
      <c r="H691" s="179"/>
      <c r="I691" s="179"/>
      <c r="J691" s="191">
        <v>98403.99</v>
      </c>
      <c r="K691" s="191">
        <v>-6800081.7699999996</v>
      </c>
      <c r="L691" s="185">
        <v>74</v>
      </c>
      <c r="N691" s="182" t="s">
        <v>124</v>
      </c>
      <c r="O691" t="s">
        <v>834</v>
      </c>
      <c r="P691" t="s">
        <v>741</v>
      </c>
      <c r="Q691" s="197" t="s">
        <v>869</v>
      </c>
    </row>
    <row r="692" spans="2:17" ht="16.5" hidden="1" customHeight="1">
      <c r="B692" t="str">
        <f t="shared" si="27"/>
        <v>615041</v>
      </c>
      <c r="C692" s="179">
        <v>615041121017</v>
      </c>
      <c r="D692" t="s">
        <v>870</v>
      </c>
      <c r="E692" s="179"/>
      <c r="F692" s="179">
        <v>3864.76</v>
      </c>
      <c r="G692" s="179">
        <v>-319879.78000000003</v>
      </c>
      <c r="H692" s="179"/>
      <c r="I692" s="179"/>
      <c r="J692" s="191">
        <v>3368.86</v>
      </c>
      <c r="K692" s="191">
        <v>-684703.65</v>
      </c>
      <c r="L692" s="185" t="s">
        <v>871</v>
      </c>
      <c r="N692" s="182" t="s">
        <v>124</v>
      </c>
      <c r="O692" t="s">
        <v>834</v>
      </c>
      <c r="P692" t="s">
        <v>741</v>
      </c>
      <c r="Q692" s="197" t="s">
        <v>872</v>
      </c>
    </row>
    <row r="693" spans="2:17" ht="16.5" hidden="1" customHeight="1">
      <c r="B693" t="str">
        <f t="shared" si="27"/>
        <v>615041</v>
      </c>
      <c r="C693" s="179">
        <v>615041121018</v>
      </c>
      <c r="D693" t="s">
        <v>873</v>
      </c>
      <c r="E693" s="179"/>
      <c r="F693" s="179">
        <v>12042.62</v>
      </c>
      <c r="G693" s="179">
        <v>-3817.78</v>
      </c>
      <c r="H693" s="179"/>
      <c r="I693" s="179"/>
      <c r="J693" s="191">
        <v>14371.46</v>
      </c>
      <c r="K693" s="191">
        <v>-2119644.7200000002</v>
      </c>
      <c r="L693" s="185">
        <v>74</v>
      </c>
      <c r="N693" s="182" t="s">
        <v>124</v>
      </c>
      <c r="O693" t="s">
        <v>834</v>
      </c>
      <c r="P693" t="s">
        <v>741</v>
      </c>
      <c r="Q693" s="197" t="s">
        <v>874</v>
      </c>
    </row>
    <row r="694" spans="2:17" ht="16.5" hidden="1" customHeight="1">
      <c r="B694" t="str">
        <f t="shared" si="27"/>
        <v>615041</v>
      </c>
      <c r="C694" s="179">
        <v>615041121019</v>
      </c>
      <c r="D694" t="s">
        <v>875</v>
      </c>
      <c r="E694" s="179"/>
      <c r="F694" s="179">
        <v>5500</v>
      </c>
      <c r="G694" s="179">
        <v>-0.12</v>
      </c>
      <c r="H694" s="179"/>
      <c r="I694" s="179"/>
      <c r="J694" s="191">
        <v>0</v>
      </c>
      <c r="K694" s="191">
        <v>0</v>
      </c>
      <c r="L694" s="185">
        <v>74</v>
      </c>
      <c r="N694" s="182" t="s">
        <v>124</v>
      </c>
      <c r="O694" t="s">
        <v>834</v>
      </c>
      <c r="P694" t="s">
        <v>741</v>
      </c>
      <c r="Q694" s="197" t="s">
        <v>874</v>
      </c>
    </row>
    <row r="695" spans="2:17" hidden="1">
      <c r="B695" t="str">
        <f t="shared" si="27"/>
        <v>615041</v>
      </c>
      <c r="C695" s="179">
        <v>615041153001</v>
      </c>
      <c r="D695" t="s">
        <v>816</v>
      </c>
      <c r="E695" s="179"/>
      <c r="F695" s="179">
        <v>94202.19</v>
      </c>
      <c r="G695" s="179">
        <v>-104557.33</v>
      </c>
      <c r="H695" s="179"/>
      <c r="I695" s="179"/>
      <c r="J695" s="191">
        <v>5967249.6200000001</v>
      </c>
      <c r="K695" s="191">
        <v>-155773.88</v>
      </c>
      <c r="L695" s="185">
        <v>74</v>
      </c>
      <c r="N695" s="182" t="s">
        <v>124</v>
      </c>
      <c r="O695" t="s">
        <v>834</v>
      </c>
      <c r="P695" t="s">
        <v>741</v>
      </c>
      <c r="Q695" t="s">
        <v>876</v>
      </c>
    </row>
    <row r="696" spans="2:17" ht="16.5" hidden="1" customHeight="1">
      <c r="B696" t="str">
        <f t="shared" si="27"/>
        <v>615041</v>
      </c>
      <c r="C696" s="179">
        <v>615041153002</v>
      </c>
      <c r="D696" t="s">
        <v>877</v>
      </c>
      <c r="E696" s="179"/>
      <c r="F696" s="179">
        <v>167908.92</v>
      </c>
      <c r="G696" s="179">
        <v>2666.84</v>
      </c>
      <c r="H696" s="179"/>
      <c r="I696" s="179"/>
      <c r="J696" s="191">
        <v>0</v>
      </c>
      <c r="K696" s="191">
        <v>2666.84</v>
      </c>
      <c r="L696" s="185">
        <v>75</v>
      </c>
      <c r="N696" s="182" t="s">
        <v>124</v>
      </c>
      <c r="O696" t="s">
        <v>834</v>
      </c>
      <c r="P696" t="s">
        <v>741</v>
      </c>
      <c r="Q696" s="197" t="s">
        <v>226</v>
      </c>
    </row>
    <row r="697" spans="2:17" ht="16.5" hidden="1" customHeight="1">
      <c r="B697" t="str">
        <f t="shared" si="27"/>
        <v>615041</v>
      </c>
      <c r="C697" s="179">
        <v>615041153003</v>
      </c>
      <c r="D697" t="s">
        <v>828</v>
      </c>
      <c r="E697" s="179"/>
      <c r="F697" s="179">
        <v>18596.009999999998</v>
      </c>
      <c r="G697" s="179">
        <v>64868.57</v>
      </c>
      <c r="H697" s="179"/>
      <c r="I697" s="179"/>
      <c r="J697" s="191">
        <v>594.58000000000004</v>
      </c>
      <c r="K697" s="191">
        <v>66291.929999999993</v>
      </c>
      <c r="L697" s="185">
        <v>75</v>
      </c>
      <c r="N697" s="182" t="s">
        <v>124</v>
      </c>
      <c r="O697" t="s">
        <v>834</v>
      </c>
      <c r="P697" t="s">
        <v>741</v>
      </c>
      <c r="Q697" s="197" t="s">
        <v>226</v>
      </c>
    </row>
    <row r="698" spans="2:17" ht="16.5" hidden="1" customHeight="1">
      <c r="B698" t="str">
        <f t="shared" si="27"/>
        <v>615041</v>
      </c>
      <c r="C698" s="179">
        <v>615041155001</v>
      </c>
      <c r="D698" t="s">
        <v>877</v>
      </c>
      <c r="E698" s="179"/>
      <c r="F698" s="179"/>
      <c r="G698" s="179">
        <v>25025472.670000002</v>
      </c>
      <c r="H698" s="179"/>
      <c r="I698" s="179"/>
      <c r="J698" s="191">
        <v>167908.92</v>
      </c>
      <c r="K698" s="191">
        <v>47852373.170000002</v>
      </c>
      <c r="L698" s="185">
        <v>75</v>
      </c>
      <c r="N698" s="182" t="s">
        <v>124</v>
      </c>
      <c r="O698" t="s">
        <v>834</v>
      </c>
      <c r="P698" t="s">
        <v>741</v>
      </c>
      <c r="Q698" t="s">
        <v>878</v>
      </c>
    </row>
    <row r="699" spans="2:17" ht="16.5" hidden="1" customHeight="1">
      <c r="B699" t="str">
        <f t="shared" si="27"/>
        <v>615041</v>
      </c>
      <c r="C699" s="179">
        <v>615041191001</v>
      </c>
      <c r="D699" t="s">
        <v>817</v>
      </c>
      <c r="E699" s="179"/>
      <c r="F699" s="179">
        <v>128406.78</v>
      </c>
      <c r="G699" s="179">
        <v>270028.73</v>
      </c>
      <c r="H699" s="179"/>
      <c r="I699" s="179"/>
      <c r="J699" s="191">
        <v>146012.69</v>
      </c>
      <c r="K699" s="191">
        <v>270028.73</v>
      </c>
      <c r="L699" s="185">
        <v>75</v>
      </c>
      <c r="N699" s="182" t="s">
        <v>124</v>
      </c>
      <c r="O699" t="s">
        <v>834</v>
      </c>
      <c r="P699" t="s">
        <v>741</v>
      </c>
      <c r="Q699" s="197" t="s">
        <v>879</v>
      </c>
    </row>
    <row r="700" spans="2:17" ht="16.5" hidden="1" customHeight="1">
      <c r="B700" t="str">
        <f t="shared" si="27"/>
        <v>615041</v>
      </c>
      <c r="C700" s="179">
        <v>615041191002</v>
      </c>
      <c r="D700" t="s">
        <v>817</v>
      </c>
      <c r="E700" s="179"/>
      <c r="F700" s="179">
        <v>1229889.22</v>
      </c>
      <c r="G700" s="179">
        <v>945314.4</v>
      </c>
      <c r="H700" s="179"/>
      <c r="I700" s="179"/>
      <c r="J700" s="191">
        <v>2750</v>
      </c>
      <c r="K700" s="191">
        <v>2082233.19</v>
      </c>
      <c r="L700" s="185">
        <v>75</v>
      </c>
      <c r="N700" s="182" t="s">
        <v>124</v>
      </c>
      <c r="O700" t="s">
        <v>834</v>
      </c>
      <c r="P700" t="s">
        <v>741</v>
      </c>
      <c r="Q700" t="s">
        <v>872</v>
      </c>
    </row>
    <row r="701" spans="2:17" ht="16.5" hidden="1" customHeight="1">
      <c r="B701" t="str">
        <f t="shared" si="27"/>
        <v>615041</v>
      </c>
      <c r="C701" s="179">
        <v>615041192001</v>
      </c>
      <c r="D701" t="s">
        <v>880</v>
      </c>
      <c r="E701" s="179"/>
      <c r="F701" s="179">
        <v>3382865.53</v>
      </c>
      <c r="G701" s="179">
        <v>146846.62</v>
      </c>
      <c r="H701" s="179"/>
      <c r="I701" s="179"/>
      <c r="J701" s="191">
        <v>114342.21</v>
      </c>
      <c r="K701" s="191">
        <v>148603.51</v>
      </c>
      <c r="L701" s="185">
        <v>75</v>
      </c>
      <c r="N701" s="182" t="s">
        <v>124</v>
      </c>
      <c r="O701" t="s">
        <v>834</v>
      </c>
      <c r="P701" t="s">
        <v>741</v>
      </c>
      <c r="Q701" t="s">
        <v>878</v>
      </c>
    </row>
    <row r="702" spans="2:17" ht="16.5" hidden="1" customHeight="1">
      <c r="B702" t="str">
        <f t="shared" si="27"/>
        <v>615041</v>
      </c>
      <c r="C702" s="179">
        <v>615041193001</v>
      </c>
      <c r="D702" t="s">
        <v>819</v>
      </c>
      <c r="E702" s="179"/>
      <c r="F702" s="179">
        <v>320570.38</v>
      </c>
      <c r="G702" s="179">
        <v>82851.48</v>
      </c>
      <c r="H702" s="179"/>
      <c r="I702" s="179"/>
      <c r="J702" s="191">
        <v>274827.94</v>
      </c>
      <c r="K702" s="191">
        <v>135283.82</v>
      </c>
      <c r="L702" s="185">
        <v>75</v>
      </c>
      <c r="N702" s="182" t="s">
        <v>124</v>
      </c>
      <c r="O702" t="s">
        <v>834</v>
      </c>
      <c r="P702" t="s">
        <v>741</v>
      </c>
      <c r="Q702" s="197" t="s">
        <v>881</v>
      </c>
    </row>
    <row r="703" spans="2:17" ht="16.5" hidden="1" customHeight="1">
      <c r="B703" t="str">
        <f t="shared" si="27"/>
        <v>615041</v>
      </c>
      <c r="C703" s="179">
        <v>615041193002</v>
      </c>
      <c r="D703" t="s">
        <v>882</v>
      </c>
      <c r="E703" s="179"/>
      <c r="F703" s="179">
        <v>0</v>
      </c>
      <c r="G703" s="179">
        <v>175372.11</v>
      </c>
      <c r="H703" s="179"/>
      <c r="I703" s="179"/>
      <c r="J703" s="191">
        <v>42735.83</v>
      </c>
      <c r="K703" s="191">
        <v>611537.82999999996</v>
      </c>
      <c r="L703" s="185">
        <v>75</v>
      </c>
      <c r="N703" s="182" t="s">
        <v>124</v>
      </c>
      <c r="O703" t="s">
        <v>834</v>
      </c>
      <c r="P703" t="s">
        <v>741</v>
      </c>
      <c r="Q703" s="197" t="s">
        <v>881</v>
      </c>
    </row>
    <row r="704" spans="2:17" ht="16.5" hidden="1" customHeight="1">
      <c r="B704" t="str">
        <f t="shared" si="27"/>
        <v>615041</v>
      </c>
      <c r="C704" s="179">
        <v>615041193003</v>
      </c>
      <c r="D704" t="s">
        <v>883</v>
      </c>
      <c r="E704" s="179"/>
      <c r="F704" s="179">
        <v>0</v>
      </c>
      <c r="G704" s="179">
        <v>3287461.76</v>
      </c>
      <c r="H704" s="179"/>
      <c r="I704" s="179"/>
      <c r="J704" s="191">
        <v>0</v>
      </c>
      <c r="K704" s="191">
        <v>3905996.96</v>
      </c>
      <c r="L704" s="185">
        <v>75</v>
      </c>
      <c r="N704" s="182" t="s">
        <v>124</v>
      </c>
      <c r="O704" t="s">
        <v>834</v>
      </c>
      <c r="P704" t="s">
        <v>741</v>
      </c>
      <c r="Q704" s="197" t="s">
        <v>881</v>
      </c>
    </row>
    <row r="705" spans="2:17" ht="16.5" hidden="1" customHeight="1">
      <c r="B705" t="str">
        <f t="shared" si="27"/>
        <v>615041</v>
      </c>
      <c r="C705" s="179">
        <v>615041193004</v>
      </c>
      <c r="D705" t="s">
        <v>884</v>
      </c>
      <c r="E705" s="179"/>
      <c r="F705" s="179">
        <v>103.57</v>
      </c>
      <c r="G705" s="179">
        <v>-6997.5</v>
      </c>
      <c r="H705" s="179"/>
      <c r="I705" s="179">
        <v>-1000</v>
      </c>
      <c r="J705" s="191">
        <v>0</v>
      </c>
      <c r="K705" s="191">
        <v>-26572</v>
      </c>
      <c r="L705" s="185">
        <v>70</v>
      </c>
      <c r="N705" s="182" t="s">
        <v>124</v>
      </c>
      <c r="O705" t="s">
        <v>834</v>
      </c>
      <c r="P705" t="s">
        <v>741</v>
      </c>
      <c r="Q705" s="197" t="s">
        <v>742</v>
      </c>
    </row>
    <row r="706" spans="2:17" ht="16.5" hidden="1" customHeight="1">
      <c r="B706" t="str">
        <f t="shared" si="27"/>
        <v>615041</v>
      </c>
      <c r="C706" s="179">
        <v>615041194004</v>
      </c>
      <c r="D706" t="s">
        <v>885</v>
      </c>
      <c r="E706" s="179"/>
      <c r="F706" s="179">
        <v>0</v>
      </c>
      <c r="G706" s="179">
        <v>-6800.96</v>
      </c>
      <c r="H706" s="179"/>
      <c r="I706" s="179"/>
      <c r="J706" s="191">
        <v>0</v>
      </c>
      <c r="K706" s="191">
        <v>-6804</v>
      </c>
      <c r="L706" s="185">
        <v>70</v>
      </c>
      <c r="N706" s="182" t="s">
        <v>124</v>
      </c>
      <c r="O706" t="s">
        <v>834</v>
      </c>
      <c r="P706" t="s">
        <v>741</v>
      </c>
      <c r="Q706" s="197" t="s">
        <v>742</v>
      </c>
    </row>
    <row r="707" spans="2:17" ht="16.5" hidden="1" customHeight="1">
      <c r="B707" t="str">
        <f t="shared" si="27"/>
        <v>615041</v>
      </c>
      <c r="C707" s="179">
        <v>615041199001</v>
      </c>
      <c r="D707" t="s">
        <v>886</v>
      </c>
      <c r="E707" s="179"/>
      <c r="F707" s="179">
        <v>46000</v>
      </c>
      <c r="G707" s="179">
        <v>115.46</v>
      </c>
      <c r="H707" s="179"/>
      <c r="I707" s="179"/>
      <c r="J707" s="191">
        <v>0</v>
      </c>
      <c r="K707" s="191">
        <v>438.43</v>
      </c>
      <c r="L707" s="185" t="s">
        <v>887</v>
      </c>
      <c r="N707" s="182" t="s">
        <v>124</v>
      </c>
      <c r="O707" t="s">
        <v>834</v>
      </c>
      <c r="P707" t="s">
        <v>741</v>
      </c>
      <c r="Q707" s="197" t="s">
        <v>742</v>
      </c>
    </row>
    <row r="708" spans="2:17" ht="16.5" hidden="1" customHeight="1">
      <c r="B708" t="str">
        <f t="shared" si="27"/>
        <v>615041</v>
      </c>
      <c r="C708" s="179">
        <v>615041199002</v>
      </c>
      <c r="D708" t="s">
        <v>888</v>
      </c>
      <c r="E708" s="179"/>
      <c r="F708" s="179">
        <v>2050</v>
      </c>
      <c r="G708" s="179">
        <v>531.80999999999995</v>
      </c>
      <c r="H708" s="179"/>
      <c r="I708" s="179"/>
      <c r="J708" s="191">
        <v>16800.439999999999</v>
      </c>
      <c r="K708" s="191">
        <v>2019.47</v>
      </c>
      <c r="L708" s="185" t="s">
        <v>887</v>
      </c>
      <c r="N708" s="182" t="s">
        <v>124</v>
      </c>
      <c r="O708" t="s">
        <v>834</v>
      </c>
      <c r="P708" t="s">
        <v>741</v>
      </c>
      <c r="Q708" s="197" t="s">
        <v>742</v>
      </c>
    </row>
    <row r="709" spans="2:17" ht="16.5" hidden="1" customHeight="1">
      <c r="B709" t="str">
        <f t="shared" si="27"/>
        <v>615041</v>
      </c>
      <c r="C709" s="179">
        <v>615041199003</v>
      </c>
      <c r="D709" t="s">
        <v>889</v>
      </c>
      <c r="E709" s="179"/>
      <c r="F709" s="179">
        <v>0</v>
      </c>
      <c r="G709" s="179">
        <v>2029.28</v>
      </c>
      <c r="H709" s="179"/>
      <c r="I709" s="179"/>
      <c r="J709" s="191">
        <v>13371.12</v>
      </c>
      <c r="K709" s="191">
        <v>4378.22</v>
      </c>
      <c r="L709" s="185" t="s">
        <v>887</v>
      </c>
      <c r="N709" s="182" t="s">
        <v>124</v>
      </c>
      <c r="O709" t="s">
        <v>834</v>
      </c>
      <c r="P709" t="s">
        <v>741</v>
      </c>
      <c r="Q709" s="197" t="s">
        <v>742</v>
      </c>
    </row>
    <row r="710" spans="2:17" ht="16.5" hidden="1" customHeight="1">
      <c r="B710" t="str">
        <f t="shared" si="27"/>
        <v>615041</v>
      </c>
      <c r="C710" s="179">
        <v>615041199004</v>
      </c>
      <c r="D710" t="s">
        <v>890</v>
      </c>
      <c r="E710" s="179"/>
      <c r="F710" s="179">
        <v>32865</v>
      </c>
      <c r="G710" s="179">
        <v>0</v>
      </c>
      <c r="H710" s="179"/>
      <c r="I710" s="179"/>
      <c r="J710" s="191">
        <v>24623.05</v>
      </c>
      <c r="K710" s="191">
        <v>0</v>
      </c>
      <c r="L710" s="185" t="s">
        <v>891</v>
      </c>
      <c r="N710" s="182" t="s">
        <v>124</v>
      </c>
      <c r="O710" t="s">
        <v>834</v>
      </c>
    </row>
    <row r="711" spans="2:17" ht="16.5" hidden="1" customHeight="1">
      <c r="B711" t="str">
        <f t="shared" si="27"/>
        <v>615041</v>
      </c>
      <c r="C711" s="179">
        <v>615041199005</v>
      </c>
      <c r="D711" t="s">
        <v>892</v>
      </c>
      <c r="E711" s="179"/>
      <c r="F711" s="179">
        <v>888841.56</v>
      </c>
      <c r="G711" s="179">
        <v>2621710.63</v>
      </c>
      <c r="H711" s="179"/>
      <c r="I711" s="179"/>
      <c r="J711" s="191">
        <v>48.88</v>
      </c>
      <c r="K711" s="191">
        <v>4004851.59</v>
      </c>
      <c r="L711" s="185" t="s">
        <v>891</v>
      </c>
      <c r="N711" s="182" t="s">
        <v>124</v>
      </c>
      <c r="O711" t="s">
        <v>834</v>
      </c>
    </row>
    <row r="712" spans="2:17" ht="16.5" hidden="1" customHeight="1">
      <c r="B712" t="str">
        <f t="shared" si="27"/>
        <v>615041</v>
      </c>
      <c r="C712" s="179">
        <v>615041199006</v>
      </c>
      <c r="D712" t="s">
        <v>893</v>
      </c>
      <c r="E712" s="179"/>
      <c r="F712" s="179">
        <v>3882.35</v>
      </c>
      <c r="G712" s="179">
        <v>853396.2</v>
      </c>
      <c r="H712" s="179"/>
      <c r="I712" s="179"/>
      <c r="J712" s="191">
        <v>250.84</v>
      </c>
      <c r="K712" s="191">
        <v>2735328.26</v>
      </c>
      <c r="L712" s="185" t="s">
        <v>891</v>
      </c>
      <c r="N712" s="182" t="s">
        <v>124</v>
      </c>
      <c r="O712" t="s">
        <v>834</v>
      </c>
    </row>
    <row r="713" spans="2:17" ht="16.5" hidden="1" customHeight="1">
      <c r="B713" t="str">
        <f t="shared" si="27"/>
        <v>615041</v>
      </c>
      <c r="C713" s="179">
        <v>615041199007</v>
      </c>
      <c r="D713" t="s">
        <v>894</v>
      </c>
      <c r="E713" s="179"/>
      <c r="F713" s="179">
        <v>0</v>
      </c>
      <c r="G713" s="179">
        <v>0</v>
      </c>
      <c r="H713" s="179"/>
      <c r="I713" s="179"/>
      <c r="J713" s="191">
        <v>0</v>
      </c>
      <c r="K713" s="191">
        <v>0</v>
      </c>
      <c r="L713" s="185" t="s">
        <v>895</v>
      </c>
      <c r="N713" s="182" t="s">
        <v>124</v>
      </c>
      <c r="O713" t="s">
        <v>834</v>
      </c>
    </row>
    <row r="714" spans="2:17" ht="16.5" hidden="1" customHeight="1">
      <c r="B714" t="str">
        <f t="shared" si="27"/>
        <v>615041</v>
      </c>
      <c r="C714" s="179">
        <v>615041199008</v>
      </c>
      <c r="D714" t="s">
        <v>831</v>
      </c>
      <c r="E714" s="179"/>
      <c r="F714" s="179">
        <v>148743.03</v>
      </c>
      <c r="G714" s="179">
        <v>7270529.6100000003</v>
      </c>
      <c r="H714" s="179"/>
      <c r="I714" s="179"/>
      <c r="J714" s="191">
        <v>44276.74</v>
      </c>
      <c r="K714" s="191">
        <v>11102587.83</v>
      </c>
      <c r="L714" s="185" t="s">
        <v>895</v>
      </c>
      <c r="N714" s="182" t="s">
        <v>124</v>
      </c>
      <c r="O714" t="s">
        <v>834</v>
      </c>
    </row>
    <row r="715" spans="2:17" ht="16.5" hidden="1" customHeight="1">
      <c r="B715" t="str">
        <f t="shared" si="27"/>
        <v>615041</v>
      </c>
      <c r="C715" s="179">
        <v>615041199009</v>
      </c>
      <c r="D715" t="s">
        <v>896</v>
      </c>
      <c r="E715" s="179"/>
      <c r="F715" s="179">
        <v>12916.03</v>
      </c>
      <c r="G715" s="179">
        <v>2370545.12</v>
      </c>
      <c r="H715" s="179"/>
      <c r="I715" s="179"/>
      <c r="J715" s="191">
        <v>12592.43</v>
      </c>
      <c r="K715" s="191">
        <v>7598134.1500000004</v>
      </c>
      <c r="L715" s="185" t="s">
        <v>895</v>
      </c>
      <c r="N715" s="182" t="s">
        <v>124</v>
      </c>
      <c r="O715" t="s">
        <v>834</v>
      </c>
    </row>
    <row r="716" spans="2:17" ht="16.5" hidden="1" customHeight="1">
      <c r="B716" t="str">
        <f t="shared" si="27"/>
        <v>615041</v>
      </c>
      <c r="C716" s="179">
        <v>615041199010</v>
      </c>
      <c r="D716" t="s">
        <v>897</v>
      </c>
      <c r="E716" s="179"/>
      <c r="F716" s="179">
        <v>19604.3</v>
      </c>
      <c r="G716" s="179">
        <v>-6933100.46</v>
      </c>
      <c r="H716" s="179"/>
      <c r="I716" s="179"/>
      <c r="J716" s="191">
        <v>2215.59</v>
      </c>
      <c r="K716" s="191">
        <v>-10765158.68</v>
      </c>
      <c r="L716" s="185" t="s">
        <v>895</v>
      </c>
      <c r="N716" s="182" t="s">
        <v>124</v>
      </c>
      <c r="O716" t="s">
        <v>834</v>
      </c>
    </row>
    <row r="717" spans="2:17" ht="16.5" hidden="1" customHeight="1">
      <c r="C717" s="179">
        <v>615041199011</v>
      </c>
      <c r="D717" t="s">
        <v>898</v>
      </c>
      <c r="E717" s="179"/>
      <c r="F717" s="179"/>
      <c r="J717" s="191">
        <v>412.99</v>
      </c>
      <c r="O717" t="s">
        <v>834</v>
      </c>
    </row>
    <row r="718" spans="2:17" ht="16.5" hidden="1" customHeight="1">
      <c r="C718" s="179">
        <v>615041101014</v>
      </c>
      <c r="D718" t="s">
        <v>899</v>
      </c>
      <c r="E718" s="179"/>
      <c r="F718" s="179"/>
      <c r="J718" s="191">
        <v>237520.6</v>
      </c>
      <c r="O718" t="s">
        <v>834</v>
      </c>
    </row>
    <row r="719" spans="2:17" ht="16.5" customHeight="1">
      <c r="C719" s="179">
        <v>631041101</v>
      </c>
      <c r="D719" t="s">
        <v>900</v>
      </c>
      <c r="E719" s="179"/>
      <c r="F719" s="179">
        <v>-11988860.939999999</v>
      </c>
      <c r="J719" s="191">
        <v>-7535233.6600000001</v>
      </c>
      <c r="O719" t="s">
        <v>901</v>
      </c>
    </row>
    <row r="720" spans="2:17" ht="16.5" customHeight="1">
      <c r="C720" s="179">
        <v>631041301</v>
      </c>
      <c r="D720" t="s">
        <v>902</v>
      </c>
      <c r="E720" s="179"/>
      <c r="F720" s="179">
        <v>-678729.99</v>
      </c>
      <c r="J720" s="191">
        <v>-684703.65</v>
      </c>
      <c r="O720" t="s">
        <v>901</v>
      </c>
    </row>
    <row r="721" spans="3:15" ht="16.5" customHeight="1">
      <c r="C721" s="179">
        <v>631041901</v>
      </c>
      <c r="D721" t="s">
        <v>903</v>
      </c>
      <c r="E721" s="179"/>
      <c r="F721" s="179">
        <v>-1320.23</v>
      </c>
      <c r="J721" s="191">
        <v>-2120307.73</v>
      </c>
      <c r="O721" t="s">
        <v>901</v>
      </c>
    </row>
    <row r="722" spans="3:15" ht="16.5" customHeight="1">
      <c r="C722" s="179">
        <v>631041902</v>
      </c>
      <c r="D722" t="s">
        <v>904</v>
      </c>
      <c r="E722" s="179"/>
      <c r="F722" s="179">
        <v>-72392.179999999993</v>
      </c>
      <c r="J722" s="191">
        <v>0</v>
      </c>
      <c r="O722" t="s">
        <v>901</v>
      </c>
    </row>
    <row r="723" spans="3:15" ht="16.5" customHeight="1">
      <c r="C723" s="179">
        <v>631041903</v>
      </c>
      <c r="D723" t="s">
        <v>905</v>
      </c>
      <c r="E723" s="179"/>
      <c r="F723" s="179"/>
      <c r="J723" s="191">
        <v>-157882.35</v>
      </c>
      <c r="O723" t="s">
        <v>901</v>
      </c>
    </row>
    <row r="724" spans="3:15" ht="16.5" customHeight="1">
      <c r="C724" s="179">
        <v>6350119001</v>
      </c>
      <c r="D724" t="s">
        <v>906</v>
      </c>
      <c r="E724" s="179"/>
      <c r="F724" s="179"/>
      <c r="J724" s="191">
        <v>2666.84</v>
      </c>
      <c r="O724" t="s">
        <v>907</v>
      </c>
    </row>
    <row r="725" spans="3:15" ht="16.5" customHeight="1">
      <c r="C725" s="179">
        <v>6350149001</v>
      </c>
      <c r="D725" t="s">
        <v>908</v>
      </c>
      <c r="E725" s="179"/>
      <c r="F725" s="179"/>
      <c r="J725" s="191">
        <v>66291.929999999993</v>
      </c>
      <c r="O725" t="s">
        <v>907</v>
      </c>
    </row>
    <row r="726" spans="3:15" ht="16.5" customHeight="1">
      <c r="C726" s="179">
        <v>635041101</v>
      </c>
      <c r="D726" t="s">
        <v>909</v>
      </c>
      <c r="E726" s="179"/>
      <c r="F726" s="179">
        <v>55259165.009999998</v>
      </c>
      <c r="J726" s="191">
        <v>52507744.07</v>
      </c>
      <c r="O726" t="s">
        <v>907</v>
      </c>
    </row>
    <row r="727" spans="3:15" ht="16.5" customHeight="1">
      <c r="C727" s="179">
        <v>635041102</v>
      </c>
      <c r="D727" t="s">
        <v>910</v>
      </c>
      <c r="E727" s="179"/>
      <c r="F727" s="179"/>
      <c r="J727" s="191">
        <v>270028.73</v>
      </c>
      <c r="O727" t="s">
        <v>907</v>
      </c>
    </row>
    <row r="728" spans="3:15" ht="16.5" customHeight="1">
      <c r="C728" s="179">
        <v>635041301</v>
      </c>
      <c r="D728" t="s">
        <v>911</v>
      </c>
      <c r="E728" s="179"/>
      <c r="F728" s="179">
        <v>4445279.55</v>
      </c>
      <c r="J728" s="191">
        <v>2260761.77</v>
      </c>
      <c r="O728" t="s">
        <v>907</v>
      </c>
    </row>
    <row r="729" spans="3:15" ht="16.5" customHeight="1">
      <c r="C729" s="179">
        <v>635041901</v>
      </c>
      <c r="D729" t="s">
        <v>912</v>
      </c>
      <c r="E729" s="179"/>
      <c r="F729" s="179">
        <v>3808421.39</v>
      </c>
      <c r="J729" s="191">
        <v>148603.51</v>
      </c>
      <c r="O729" t="s">
        <v>907</v>
      </c>
    </row>
    <row r="730" spans="3:15" ht="16.5" customHeight="1">
      <c r="C730" s="179">
        <v>635041902</v>
      </c>
      <c r="D730" t="s">
        <v>913</v>
      </c>
      <c r="E730" s="179"/>
      <c r="F730" s="179">
        <v>666229.59</v>
      </c>
      <c r="J730" s="191">
        <v>146159.28</v>
      </c>
      <c r="O730" t="s">
        <v>907</v>
      </c>
    </row>
    <row r="731" spans="3:15" ht="16.5" customHeight="1">
      <c r="C731" s="179">
        <v>635041904</v>
      </c>
      <c r="D731" t="s">
        <v>914</v>
      </c>
      <c r="E731" s="179"/>
      <c r="F731" s="179">
        <v>4665506.5599999996</v>
      </c>
      <c r="J731" s="191">
        <v>645553.43000000005</v>
      </c>
      <c r="O731" t="s">
        <v>907</v>
      </c>
    </row>
    <row r="732" spans="3:15" ht="16.5" customHeight="1">
      <c r="C732" s="179">
        <v>635041905</v>
      </c>
      <c r="D732" t="s">
        <v>915</v>
      </c>
      <c r="E732" s="179"/>
      <c r="F732" s="179">
        <v>238703</v>
      </c>
      <c r="J732" s="191">
        <v>4069699.84</v>
      </c>
      <c r="O732" t="s">
        <v>907</v>
      </c>
    </row>
    <row r="733" spans="3:15" ht="16.5" customHeight="1">
      <c r="C733" s="179">
        <v>635041906</v>
      </c>
      <c r="D733" t="s">
        <v>916</v>
      </c>
      <c r="E733" s="179"/>
      <c r="F733" s="179"/>
      <c r="J733" s="191">
        <v>8716735.8399999999</v>
      </c>
      <c r="O733" t="s">
        <v>907</v>
      </c>
    </row>
    <row r="734" spans="3:15" ht="16.5" customHeight="1">
      <c r="C734" s="179">
        <v>635041907</v>
      </c>
      <c r="D734" t="s">
        <v>917</v>
      </c>
      <c r="E734" s="179"/>
      <c r="F734" s="179"/>
      <c r="J734" s="191">
        <v>2460608.5499999998</v>
      </c>
      <c r="O734" t="s">
        <v>907</v>
      </c>
    </row>
    <row r="735" spans="3:15" ht="16.5" hidden="1" customHeight="1">
      <c r="C735" s="179">
        <v>6710119101</v>
      </c>
      <c r="D735" t="s">
        <v>918</v>
      </c>
      <c r="E735" s="179"/>
      <c r="F735" s="179"/>
      <c r="J735" s="191">
        <v>-26572</v>
      </c>
      <c r="O735" t="s">
        <v>771</v>
      </c>
    </row>
    <row r="736" spans="3:15" ht="16.5" hidden="1" customHeight="1">
      <c r="C736" s="179">
        <v>6710119201</v>
      </c>
      <c r="D736" t="s">
        <v>919</v>
      </c>
      <c r="E736" s="179"/>
      <c r="F736" s="179"/>
      <c r="J736" s="191">
        <v>-5903873.9699999997</v>
      </c>
      <c r="O736" t="s">
        <v>771</v>
      </c>
    </row>
    <row r="737" spans="3:15" ht="16.5" hidden="1" customHeight="1">
      <c r="C737" s="179">
        <v>6710161101</v>
      </c>
      <c r="D737" t="s">
        <v>920</v>
      </c>
      <c r="E737" s="179"/>
      <c r="F737" s="179"/>
      <c r="J737" s="191">
        <v>438.43</v>
      </c>
      <c r="O737" t="s">
        <v>771</v>
      </c>
    </row>
    <row r="738" spans="3:15" ht="16.5" hidden="1" customHeight="1">
      <c r="C738" s="179">
        <v>6710161102</v>
      </c>
      <c r="D738" t="s">
        <v>921</v>
      </c>
      <c r="E738" s="179"/>
      <c r="F738" s="179"/>
      <c r="J738" s="191">
        <v>2019.47</v>
      </c>
      <c r="O738" t="s">
        <v>771</v>
      </c>
    </row>
    <row r="739" spans="3:15" ht="16.5" hidden="1" customHeight="1">
      <c r="C739" s="179">
        <v>6710161201</v>
      </c>
      <c r="D739" t="s">
        <v>922</v>
      </c>
      <c r="E739" s="179"/>
      <c r="F739" s="179"/>
      <c r="J739" s="191">
        <v>4378.22</v>
      </c>
      <c r="O739" t="s">
        <v>771</v>
      </c>
    </row>
    <row r="740" spans="3:15" ht="16.5" hidden="1" customHeight="1">
      <c r="C740" s="179">
        <v>6750119102</v>
      </c>
      <c r="D740" t="s">
        <v>923</v>
      </c>
      <c r="E740" s="179"/>
      <c r="F740" s="179"/>
      <c r="J740" s="191">
        <v>2706510.65</v>
      </c>
      <c r="O740" t="s">
        <v>771</v>
      </c>
    </row>
    <row r="741" spans="3:15" ht="16.5" hidden="1" customHeight="1">
      <c r="C741" s="179">
        <v>710011201</v>
      </c>
      <c r="D741" t="s">
        <v>924</v>
      </c>
      <c r="E741" s="179"/>
      <c r="F741" s="179">
        <v>2379477.56</v>
      </c>
      <c r="J741" s="191">
        <v>0</v>
      </c>
      <c r="O741" t="s">
        <v>925</v>
      </c>
    </row>
    <row r="742" spans="3:15" ht="16.5" hidden="1" customHeight="1">
      <c r="C742" s="179">
        <v>710011201001</v>
      </c>
      <c r="D742" t="s">
        <v>924</v>
      </c>
      <c r="E742" s="179"/>
      <c r="F742" s="179"/>
      <c r="J742" s="191">
        <v>6963411</v>
      </c>
      <c r="O742" t="s">
        <v>925</v>
      </c>
    </row>
    <row r="743" spans="3:15" ht="16.5" hidden="1" customHeight="1">
      <c r="C743" s="179">
        <v>710011201002</v>
      </c>
      <c r="D743" t="s">
        <v>926</v>
      </c>
      <c r="E743" s="179"/>
      <c r="F743" s="179"/>
      <c r="J743" s="191">
        <v>-154759.78</v>
      </c>
      <c r="O743" t="s">
        <v>927</v>
      </c>
    </row>
    <row r="744" spans="3:15" ht="16.5" hidden="1" customHeight="1">
      <c r="C744" s="179">
        <v>710011202</v>
      </c>
      <c r="D744" t="s">
        <v>928</v>
      </c>
      <c r="E744" s="179"/>
      <c r="F744" s="179">
        <v>6585659.7800000003</v>
      </c>
      <c r="J744" s="191">
        <v>0</v>
      </c>
      <c r="O744" t="s">
        <v>929</v>
      </c>
    </row>
    <row r="745" spans="3:15" ht="16.5" hidden="1" customHeight="1">
      <c r="C745" s="179">
        <v>710011202001</v>
      </c>
      <c r="D745" t="s">
        <v>928</v>
      </c>
      <c r="E745" s="179"/>
      <c r="F745" s="179"/>
      <c r="J745" s="191">
        <v>19318808.43</v>
      </c>
      <c r="O745" t="s">
        <v>929</v>
      </c>
    </row>
    <row r="746" spans="3:15" ht="16.5" hidden="1" customHeight="1">
      <c r="C746" s="179">
        <v>710011202002</v>
      </c>
      <c r="D746" t="s">
        <v>930</v>
      </c>
      <c r="E746" s="179"/>
      <c r="F746" s="179"/>
      <c r="J746" s="191">
        <v>-429888.18</v>
      </c>
      <c r="O746" t="s">
        <v>927</v>
      </c>
    </row>
    <row r="747" spans="3:15" ht="16.5" hidden="1" customHeight="1">
      <c r="C747" s="179">
        <v>71001120301</v>
      </c>
      <c r="D747" t="s">
        <v>931</v>
      </c>
      <c r="E747" s="179"/>
      <c r="F747" s="179"/>
      <c r="J747" s="191">
        <v>-14761458.109999999</v>
      </c>
      <c r="O747" t="s">
        <v>929</v>
      </c>
    </row>
    <row r="748" spans="3:15" ht="16.5" customHeight="1">
      <c r="C748" s="179">
        <v>7100123101</v>
      </c>
      <c r="D748" t="s">
        <v>932</v>
      </c>
      <c r="E748" s="179"/>
      <c r="F748" s="179"/>
      <c r="J748" s="191"/>
      <c r="O748" t="s">
        <v>907</v>
      </c>
    </row>
    <row r="749" spans="3:15" ht="16.5" hidden="1" customHeight="1">
      <c r="C749" s="179">
        <v>710011301001</v>
      </c>
      <c r="D749" t="e">
        <f>#N/A</f>
        <v>#N/A</v>
      </c>
      <c r="E749" s="179"/>
      <c r="F749" s="179"/>
      <c r="J749" s="191">
        <v>83134456.590000004</v>
      </c>
    </row>
    <row r="750" spans="3:15">
      <c r="E750" s="179"/>
      <c r="F750" s="179"/>
    </row>
    <row r="751" spans="3:15">
      <c r="E751" s="179"/>
      <c r="F751" s="179"/>
    </row>
    <row r="752" spans="3:15">
      <c r="E752" s="179"/>
      <c r="F752" s="179"/>
    </row>
    <row r="753" spans="5:10">
      <c r="E753" s="179"/>
      <c r="F753" s="187">
        <f>F720+F728</f>
        <v>3766549.5599999996</v>
      </c>
      <c r="J753" s="187">
        <f>J720+J728</f>
        <v>1576058.12</v>
      </c>
    </row>
  </sheetData>
  <autoFilter ref="D4:Q749">
    <filterColumn colId="11">
      <filters>
        <filter val="Despesas financeiras"/>
        <filter val="Receitas financeiras"/>
      </filters>
    </filterColumn>
  </autoFilter>
  <dataValidations count="1">
    <dataValidation type="list" allowBlank="1" showInputMessage="1" showErrorMessage="1" sqref="N5:N665">
      <formula1>$N$1:$N$3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MK54"/>
  <sheetViews>
    <sheetView showGridLines="0" zoomScale="75" zoomScaleNormal="75" workbookViewId="0">
      <pane xSplit="6" ySplit="5" topLeftCell="G28" activePane="bottomRight" state="frozen"/>
      <selection pane="topRight" activeCell="G1" sqref="G1"/>
      <selection pane="bottomLeft" activeCell="A28" sqref="A28"/>
      <selection pane="bottomRight" activeCell="I170" sqref="I170"/>
    </sheetView>
  </sheetViews>
  <sheetFormatPr defaultRowHeight="16.5"/>
  <cols>
    <col min="1" max="1" width="41.5" style="198" customWidth="1"/>
    <col min="2" max="2" width="11.75" style="198" customWidth="1"/>
    <col min="3" max="3" width="2.125" style="198" customWidth="1"/>
    <col min="4" max="4" width="11.75" style="198" customWidth="1"/>
    <col min="5" max="5" width="2.125" style="198" customWidth="1"/>
    <col min="6" max="6" width="9.125" style="198" customWidth="1"/>
    <col min="7" max="7" width="2.125" style="198" customWidth="1"/>
    <col min="8" max="8" width="14.125" style="198" customWidth="1"/>
    <col min="9" max="9" width="1.5" style="198" customWidth="1"/>
    <col min="10" max="10" width="11.5" style="199"/>
    <col min="11" max="11" width="1.5" style="198" customWidth="1"/>
    <col min="12" max="12" width="9.625" style="198" customWidth="1"/>
    <col min="13" max="13" width="1.5" style="198" customWidth="1"/>
    <col min="14" max="14" width="10" style="198" customWidth="1"/>
    <col min="15" max="15" width="1.5" style="198" customWidth="1"/>
    <col min="16" max="16" width="8.875" style="198" customWidth="1"/>
    <col min="17" max="17" width="1.5" style="198" customWidth="1"/>
    <col min="18" max="18" width="8" style="198" customWidth="1"/>
    <col min="19" max="19" width="1.5" style="198" customWidth="1"/>
    <col min="20" max="20" width="7" style="198" customWidth="1"/>
    <col min="21" max="21" width="1.5" style="198" customWidth="1"/>
    <col min="22" max="22" width="14.625" style="198" customWidth="1"/>
    <col min="23" max="23" width="1.5" style="198" customWidth="1"/>
    <col min="24" max="24" width="10.25" style="198" customWidth="1"/>
    <col min="25" max="25" width="1.5" style="198" customWidth="1"/>
    <col min="26" max="26" width="10.25" style="198" customWidth="1"/>
    <col min="27" max="27" width="1.5" style="198" customWidth="1"/>
    <col min="28" max="28" width="10.5" style="198" customWidth="1"/>
    <col min="29" max="29" width="1.5" style="198" customWidth="1"/>
    <col min="30" max="30" width="12.25" style="198" customWidth="1"/>
    <col min="31" max="31" width="1.5" style="198" customWidth="1"/>
    <col min="32" max="32" width="18.5" style="198" customWidth="1"/>
    <col min="33" max="33" width="1.5" style="198" customWidth="1"/>
    <col min="34" max="34" width="7.375" style="198" customWidth="1"/>
    <col min="35" max="35" width="1.5" style="198" customWidth="1"/>
    <col min="36" max="36" width="13.625" style="198" customWidth="1"/>
    <col min="37" max="37" width="1.5" style="198" customWidth="1"/>
    <col min="38" max="38" width="8.625" style="198" customWidth="1"/>
    <col min="39" max="39" width="1.5" style="198" customWidth="1"/>
    <col min="40" max="40" width="12" style="198" customWidth="1"/>
    <col min="41" max="41" width="1.5" style="198" customWidth="1"/>
    <col min="42" max="42" width="11.125" style="198" customWidth="1"/>
    <col min="43" max="43" width="1.5" style="198" customWidth="1"/>
    <col min="44" max="44" width="11.875" style="198" customWidth="1"/>
    <col min="45" max="45" width="1.5" style="198" customWidth="1"/>
    <col min="46" max="46" width="12.125" style="198" customWidth="1"/>
    <col min="47" max="47" width="1.5" style="198" customWidth="1"/>
    <col min="48" max="48" width="9.75" style="198" customWidth="1"/>
    <col min="49" max="49" width="1.5" style="198" customWidth="1"/>
    <col min="50" max="256" width="9" style="198" customWidth="1"/>
    <col min="257" max="257" width="41.5" style="198" customWidth="1"/>
    <col min="258" max="258" width="11.75" style="198" customWidth="1"/>
    <col min="259" max="259" width="2.125" style="198" customWidth="1"/>
    <col min="260" max="260" width="11.75" style="198" customWidth="1"/>
    <col min="261" max="262" width="2.125" style="198" customWidth="1"/>
    <col min="263" max="263" width="14.125" style="198" customWidth="1"/>
    <col min="264" max="264" width="1.5" style="198" customWidth="1"/>
    <col min="265" max="265" width="11.5" style="198"/>
    <col min="266" max="266" width="1.5" style="198" customWidth="1"/>
    <col min="267" max="267" width="9.625" style="198" customWidth="1"/>
    <col min="268" max="268" width="1.5" style="198" customWidth="1"/>
    <col min="269" max="269" width="10" style="198" customWidth="1"/>
    <col min="270" max="270" width="1.5" style="198" customWidth="1"/>
    <col min="271" max="271" width="8.625" style="198" customWidth="1"/>
    <col min="272" max="272" width="1.5" style="198" customWidth="1"/>
    <col min="273" max="273" width="8" style="198" customWidth="1"/>
    <col min="274" max="274" width="1.5" style="198" customWidth="1"/>
    <col min="275" max="275" width="7" style="198" customWidth="1"/>
    <col min="276" max="276" width="1.5" style="198" customWidth="1"/>
    <col min="277" max="277" width="11.125" style="198" customWidth="1"/>
    <col min="278" max="278" width="1.5" style="198" customWidth="1"/>
    <col min="279" max="279" width="10.25" style="198" customWidth="1"/>
    <col min="280" max="280" width="1.5" style="198" customWidth="1"/>
    <col min="281" max="281" width="10.25" style="198" customWidth="1"/>
    <col min="282" max="282" width="1.5" style="198" customWidth="1"/>
    <col min="283" max="283" width="10.5" style="198" customWidth="1"/>
    <col min="284" max="284" width="1.5" style="198" customWidth="1"/>
    <col min="285" max="285" width="12.25" style="198" customWidth="1"/>
    <col min="286" max="286" width="1.5" style="198" customWidth="1"/>
    <col min="287" max="287" width="11.875" style="198" customWidth="1"/>
    <col min="288" max="288" width="1.5" style="198" customWidth="1"/>
    <col min="289" max="289" width="7.375" style="198" customWidth="1"/>
    <col min="290" max="290" width="1.5" style="198" customWidth="1"/>
    <col min="291" max="291" width="13.625" style="198" customWidth="1"/>
    <col min="292" max="292" width="1.5" style="198" customWidth="1"/>
    <col min="293" max="293" width="8.625" style="198" customWidth="1"/>
    <col min="294" max="294" width="1.5" style="198" customWidth="1"/>
    <col min="295" max="295" width="12" style="198" customWidth="1"/>
    <col min="296" max="296" width="1.5" style="198" customWidth="1"/>
    <col min="297" max="297" width="11.125" style="198" customWidth="1"/>
    <col min="298" max="298" width="1.5" style="198" customWidth="1"/>
    <col min="299" max="299" width="11.875" style="198" customWidth="1"/>
    <col min="300" max="300" width="1.5" style="198" customWidth="1"/>
    <col min="301" max="301" width="12.125" style="198" customWidth="1"/>
    <col min="302" max="302" width="1.5" style="198" customWidth="1"/>
    <col min="303" max="303" width="9.75" style="198" customWidth="1"/>
    <col min="304" max="304" width="1.5" style="198" customWidth="1"/>
    <col min="305" max="305" width="10.5" style="198" customWidth="1"/>
    <col min="306" max="512" width="9" style="198" customWidth="1"/>
    <col min="513" max="513" width="41.5" style="198" customWidth="1"/>
    <col min="514" max="514" width="11.75" style="198" customWidth="1"/>
    <col min="515" max="515" width="2.125" style="198" customWidth="1"/>
    <col min="516" max="516" width="11.75" style="198" customWidth="1"/>
    <col min="517" max="518" width="2.125" style="198" customWidth="1"/>
    <col min="519" max="519" width="14.125" style="198" customWidth="1"/>
    <col min="520" max="520" width="1.5" style="198" customWidth="1"/>
    <col min="521" max="521" width="11.5" style="198"/>
    <col min="522" max="522" width="1.5" style="198" customWidth="1"/>
    <col min="523" max="523" width="9.625" style="198" customWidth="1"/>
    <col min="524" max="524" width="1.5" style="198" customWidth="1"/>
    <col min="525" max="525" width="10" style="198" customWidth="1"/>
    <col min="526" max="526" width="1.5" style="198" customWidth="1"/>
    <col min="527" max="527" width="8.625" style="198" customWidth="1"/>
    <col min="528" max="528" width="1.5" style="198" customWidth="1"/>
    <col min="529" max="529" width="8" style="198" customWidth="1"/>
    <col min="530" max="530" width="1.5" style="198" customWidth="1"/>
    <col min="531" max="531" width="7" style="198" customWidth="1"/>
    <col min="532" max="532" width="1.5" style="198" customWidth="1"/>
    <col min="533" max="533" width="11.125" style="198" customWidth="1"/>
    <col min="534" max="534" width="1.5" style="198" customWidth="1"/>
    <col min="535" max="535" width="10.25" style="198" customWidth="1"/>
    <col min="536" max="536" width="1.5" style="198" customWidth="1"/>
    <col min="537" max="537" width="10.25" style="198" customWidth="1"/>
    <col min="538" max="538" width="1.5" style="198" customWidth="1"/>
    <col min="539" max="539" width="10.5" style="198" customWidth="1"/>
    <col min="540" max="540" width="1.5" style="198" customWidth="1"/>
    <col min="541" max="541" width="12.25" style="198" customWidth="1"/>
    <col min="542" max="542" width="1.5" style="198" customWidth="1"/>
    <col min="543" max="543" width="11.875" style="198" customWidth="1"/>
    <col min="544" max="544" width="1.5" style="198" customWidth="1"/>
    <col min="545" max="545" width="7.375" style="198" customWidth="1"/>
    <col min="546" max="546" width="1.5" style="198" customWidth="1"/>
    <col min="547" max="547" width="13.625" style="198" customWidth="1"/>
    <col min="548" max="548" width="1.5" style="198" customWidth="1"/>
    <col min="549" max="549" width="8.625" style="198" customWidth="1"/>
    <col min="550" max="550" width="1.5" style="198" customWidth="1"/>
    <col min="551" max="551" width="12" style="198" customWidth="1"/>
    <col min="552" max="552" width="1.5" style="198" customWidth="1"/>
    <col min="553" max="553" width="11.125" style="198" customWidth="1"/>
    <col min="554" max="554" width="1.5" style="198" customWidth="1"/>
    <col min="555" max="555" width="11.875" style="198" customWidth="1"/>
    <col min="556" max="556" width="1.5" style="198" customWidth="1"/>
    <col min="557" max="557" width="12.125" style="198" customWidth="1"/>
    <col min="558" max="558" width="1.5" style="198" customWidth="1"/>
    <col min="559" max="559" width="9.75" style="198" customWidth="1"/>
    <col min="560" max="560" width="1.5" style="198" customWidth="1"/>
    <col min="561" max="561" width="10.5" style="198" customWidth="1"/>
    <col min="562" max="768" width="9" style="198" customWidth="1"/>
    <col min="769" max="769" width="41.5" style="198" customWidth="1"/>
    <col min="770" max="770" width="11.75" style="198" customWidth="1"/>
    <col min="771" max="771" width="2.125" style="198" customWidth="1"/>
    <col min="772" max="772" width="11.75" style="198" customWidth="1"/>
    <col min="773" max="774" width="2.125" style="198" customWidth="1"/>
    <col min="775" max="775" width="14.125" style="198" customWidth="1"/>
    <col min="776" max="776" width="1.5" style="198" customWidth="1"/>
    <col min="777" max="777" width="11.5" style="198"/>
    <col min="778" max="778" width="1.5" style="198" customWidth="1"/>
    <col min="779" max="779" width="9.625" style="198" customWidth="1"/>
    <col min="780" max="780" width="1.5" style="198" customWidth="1"/>
    <col min="781" max="781" width="10" style="198" customWidth="1"/>
    <col min="782" max="782" width="1.5" style="198" customWidth="1"/>
    <col min="783" max="783" width="8.625" style="198" customWidth="1"/>
    <col min="784" max="784" width="1.5" style="198" customWidth="1"/>
    <col min="785" max="785" width="8" style="198" customWidth="1"/>
    <col min="786" max="786" width="1.5" style="198" customWidth="1"/>
    <col min="787" max="787" width="7" style="198" customWidth="1"/>
    <col min="788" max="788" width="1.5" style="198" customWidth="1"/>
    <col min="789" max="789" width="11.125" style="198" customWidth="1"/>
    <col min="790" max="790" width="1.5" style="198" customWidth="1"/>
    <col min="791" max="791" width="10.25" style="198" customWidth="1"/>
    <col min="792" max="792" width="1.5" style="198" customWidth="1"/>
    <col min="793" max="793" width="10.25" style="198" customWidth="1"/>
    <col min="794" max="794" width="1.5" style="198" customWidth="1"/>
    <col min="795" max="795" width="10.5" style="198" customWidth="1"/>
    <col min="796" max="796" width="1.5" style="198" customWidth="1"/>
    <col min="797" max="797" width="12.25" style="198" customWidth="1"/>
    <col min="798" max="798" width="1.5" style="198" customWidth="1"/>
    <col min="799" max="799" width="11.875" style="198" customWidth="1"/>
    <col min="800" max="800" width="1.5" style="198" customWidth="1"/>
    <col min="801" max="801" width="7.375" style="198" customWidth="1"/>
    <col min="802" max="802" width="1.5" style="198" customWidth="1"/>
    <col min="803" max="803" width="13.625" style="198" customWidth="1"/>
    <col min="804" max="804" width="1.5" style="198" customWidth="1"/>
    <col min="805" max="805" width="8.625" style="198" customWidth="1"/>
    <col min="806" max="806" width="1.5" style="198" customWidth="1"/>
    <col min="807" max="807" width="12" style="198" customWidth="1"/>
    <col min="808" max="808" width="1.5" style="198" customWidth="1"/>
    <col min="809" max="809" width="11.125" style="198" customWidth="1"/>
    <col min="810" max="810" width="1.5" style="198" customWidth="1"/>
    <col min="811" max="811" width="11.875" style="198" customWidth="1"/>
    <col min="812" max="812" width="1.5" style="198" customWidth="1"/>
    <col min="813" max="813" width="12.125" style="198" customWidth="1"/>
    <col min="814" max="814" width="1.5" style="198" customWidth="1"/>
    <col min="815" max="815" width="9.75" style="198" customWidth="1"/>
    <col min="816" max="816" width="1.5" style="198" customWidth="1"/>
    <col min="817" max="817" width="10.5" style="198" customWidth="1"/>
    <col min="818" max="1025" width="9" style="198" customWidth="1"/>
  </cols>
  <sheetData>
    <row r="1" spans="1:49">
      <c r="B1" s="200"/>
      <c r="C1" s="200"/>
      <c r="D1" s="200"/>
      <c r="E1" s="200"/>
      <c r="F1" s="200"/>
      <c r="G1" s="200"/>
      <c r="H1" s="200"/>
      <c r="I1" s="200"/>
      <c r="J1" s="201"/>
      <c r="K1" s="200"/>
      <c r="L1" s="200"/>
      <c r="M1" s="200"/>
      <c r="N1" s="200" t="e">
        <f>'Mapa DFC'!H35+'Mapa DFC'!H36+'Mapa DFC'!H45+'Mapa DFC'!H45+'Mapa DFC'!L38</f>
        <v>#REF!</v>
      </c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</row>
    <row r="2" spans="1:49">
      <c r="B2" s="5"/>
      <c r="C2" s="5"/>
      <c r="D2" s="5"/>
      <c r="E2" s="203"/>
      <c r="F2" s="204"/>
      <c r="G2" s="203"/>
      <c r="H2" s="4" t="s">
        <v>933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9">
      <c r="B3" s="205">
        <v>2012</v>
      </c>
      <c r="C3" s="206"/>
      <c r="D3" s="205">
        <v>2011</v>
      </c>
      <c r="E3" s="206"/>
      <c r="G3" s="206"/>
      <c r="H3" s="203" t="s">
        <v>933</v>
      </c>
      <c r="I3" s="203"/>
      <c r="J3" s="207" t="s">
        <v>934</v>
      </c>
      <c r="K3" s="203"/>
      <c r="L3" s="203" t="s">
        <v>935</v>
      </c>
      <c r="M3" s="203"/>
      <c r="N3" s="203" t="s">
        <v>936</v>
      </c>
      <c r="O3" s="203"/>
      <c r="P3" s="203" t="s">
        <v>937</v>
      </c>
      <c r="Q3" s="203"/>
      <c r="R3" s="203" t="s">
        <v>938</v>
      </c>
      <c r="S3" s="203"/>
      <c r="T3" s="203" t="s">
        <v>935</v>
      </c>
      <c r="U3" s="203"/>
      <c r="V3" s="203" t="s">
        <v>939</v>
      </c>
      <c r="W3" s="203"/>
      <c r="X3" s="203" t="s">
        <v>940</v>
      </c>
      <c r="Y3" s="203"/>
      <c r="Z3" s="203" t="s">
        <v>940</v>
      </c>
      <c r="AA3" s="203"/>
      <c r="AB3" s="203" t="s">
        <v>941</v>
      </c>
      <c r="AC3" s="203"/>
      <c r="AD3" s="203" t="s">
        <v>942</v>
      </c>
      <c r="AE3" s="203"/>
      <c r="AF3" s="203" t="s">
        <v>943</v>
      </c>
      <c r="AG3" s="203"/>
      <c r="AH3" s="203" t="s">
        <v>944</v>
      </c>
      <c r="AI3" s="208"/>
      <c r="AJ3" s="203" t="s">
        <v>945</v>
      </c>
      <c r="AK3" s="208"/>
      <c r="AL3" s="203" t="s">
        <v>946</v>
      </c>
      <c r="AM3" s="203"/>
      <c r="AN3" s="3" t="s">
        <v>947</v>
      </c>
      <c r="AO3" s="3"/>
      <c r="AP3" s="3"/>
      <c r="AQ3" s="203"/>
      <c r="AR3" s="203" t="s">
        <v>948</v>
      </c>
      <c r="AS3" s="203"/>
      <c r="AT3" s="203" t="s">
        <v>949</v>
      </c>
      <c r="AU3" s="203"/>
      <c r="AV3" s="203" t="s">
        <v>124</v>
      </c>
      <c r="AW3" s="203"/>
    </row>
    <row r="4" spans="1:49">
      <c r="B4" s="206" t="s">
        <v>950</v>
      </c>
      <c r="C4" s="206"/>
      <c r="D4" s="206" t="s">
        <v>950</v>
      </c>
      <c r="E4" s="206"/>
      <c r="F4" s="209" t="s">
        <v>951</v>
      </c>
      <c r="G4" s="206"/>
      <c r="H4" s="203" t="s">
        <v>952</v>
      </c>
      <c r="I4" s="203"/>
      <c r="J4" s="210" t="s">
        <v>953</v>
      </c>
      <c r="K4" s="203"/>
      <c r="L4" s="203" t="s">
        <v>954</v>
      </c>
      <c r="M4" s="203"/>
      <c r="N4" s="203" t="s">
        <v>955</v>
      </c>
      <c r="O4" s="203"/>
      <c r="P4" s="203" t="s">
        <v>956</v>
      </c>
      <c r="Q4" s="203"/>
      <c r="R4" s="203" t="s">
        <v>957</v>
      </c>
      <c r="S4" s="203"/>
      <c r="T4" s="203"/>
      <c r="U4" s="203"/>
      <c r="V4" s="203" t="s">
        <v>958</v>
      </c>
      <c r="W4" s="203"/>
      <c r="X4" s="203" t="s">
        <v>959</v>
      </c>
      <c r="Y4" s="203"/>
      <c r="Z4" s="203" t="s">
        <v>956</v>
      </c>
      <c r="AA4" s="203"/>
      <c r="AB4" s="203" t="s">
        <v>960</v>
      </c>
      <c r="AC4" s="203"/>
      <c r="AD4" s="203"/>
      <c r="AE4" s="203"/>
      <c r="AF4" s="203" t="s">
        <v>961</v>
      </c>
      <c r="AG4" s="203"/>
      <c r="AH4" s="203" t="s">
        <v>962</v>
      </c>
      <c r="AI4" s="208"/>
      <c r="AJ4" s="203"/>
      <c r="AK4" s="208"/>
      <c r="AL4" s="203" t="s">
        <v>963</v>
      </c>
      <c r="AM4" s="203"/>
      <c r="AN4" s="203" t="s">
        <v>964</v>
      </c>
      <c r="AO4" s="203"/>
      <c r="AP4" s="203" t="s">
        <v>965</v>
      </c>
      <c r="AQ4" s="203"/>
      <c r="AR4" s="203" t="s">
        <v>966</v>
      </c>
      <c r="AS4" s="203"/>
      <c r="AT4" s="203" t="s">
        <v>967</v>
      </c>
      <c r="AU4" s="203"/>
      <c r="AV4" s="203" t="s">
        <v>968</v>
      </c>
      <c r="AW4" s="203"/>
    </row>
    <row r="5" spans="1:49">
      <c r="A5" s="211" t="s">
        <v>969</v>
      </c>
      <c r="B5" s="200"/>
      <c r="C5" s="200"/>
      <c r="D5" s="200"/>
      <c r="E5" s="200"/>
      <c r="F5" s="200"/>
      <c r="G5" s="200"/>
      <c r="H5" s="203"/>
      <c r="I5" s="203"/>
      <c r="J5" s="212" t="s">
        <v>970</v>
      </c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8"/>
      <c r="AJ5" s="213" t="s">
        <v>970</v>
      </c>
      <c r="AK5" s="208"/>
      <c r="AL5" s="208"/>
      <c r="AM5" s="202"/>
      <c r="AN5" s="213" t="s">
        <v>970</v>
      </c>
      <c r="AO5" s="202"/>
      <c r="AP5" s="213" t="s">
        <v>970</v>
      </c>
      <c r="AQ5" s="202"/>
      <c r="AR5" s="213" t="s">
        <v>970</v>
      </c>
      <c r="AS5" s="202"/>
      <c r="AT5" s="213" t="s">
        <v>970</v>
      </c>
    </row>
    <row r="6" spans="1:49">
      <c r="B6" s="214"/>
      <c r="C6" s="200"/>
      <c r="D6" s="214"/>
      <c r="E6" s="200"/>
      <c r="F6" s="200"/>
      <c r="G6" s="200"/>
      <c r="H6" s="200"/>
      <c r="I6" s="200"/>
      <c r="J6" s="201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</row>
    <row r="7" spans="1:49">
      <c r="A7" s="215"/>
      <c r="B7" s="200"/>
      <c r="C7" s="200"/>
      <c r="D7" s="200"/>
      <c r="E7" s="200"/>
      <c r="F7" s="200"/>
      <c r="G7" s="200"/>
      <c r="H7" s="200"/>
      <c r="I7" s="200"/>
      <c r="J7" s="201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16"/>
      <c r="AJ7" s="216"/>
      <c r="AK7" s="216"/>
      <c r="AL7" s="216"/>
      <c r="AM7" s="202"/>
      <c r="AN7" s="202"/>
      <c r="AO7" s="202"/>
      <c r="AP7" s="202"/>
      <c r="AQ7" s="202"/>
      <c r="AR7" s="202"/>
      <c r="AS7" s="202"/>
      <c r="AT7" s="202"/>
    </row>
    <row r="8" spans="1:49">
      <c r="A8" s="198" t="s">
        <v>971</v>
      </c>
      <c r="B8" s="200"/>
      <c r="C8" s="200"/>
      <c r="D8" s="200"/>
      <c r="E8" s="200"/>
      <c r="F8" s="200"/>
      <c r="G8" s="200"/>
      <c r="H8" s="200"/>
      <c r="I8" s="200"/>
      <c r="J8" s="201"/>
      <c r="K8" s="200"/>
      <c r="L8" s="200"/>
      <c r="M8" s="200"/>
      <c r="N8" s="200"/>
      <c r="O8" s="200"/>
      <c r="P8" s="200">
        <f>-'Mapa DFC'!V23-'Mapa DFC'!V24-'Mapa DFC'!V25</f>
        <v>22650</v>
      </c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16"/>
      <c r="AJ8" s="216"/>
      <c r="AK8" s="216"/>
      <c r="AL8" s="216"/>
      <c r="AM8" s="202"/>
      <c r="AN8" s="202"/>
      <c r="AO8" s="202"/>
      <c r="AP8" s="202"/>
      <c r="AQ8" s="202"/>
      <c r="AR8" s="202"/>
      <c r="AS8" s="202"/>
      <c r="AT8" s="202"/>
    </row>
    <row r="9" spans="1:49">
      <c r="A9" s="215"/>
      <c r="B9" s="200"/>
      <c r="C9" s="200"/>
      <c r="D9" s="200"/>
      <c r="E9" s="200"/>
      <c r="F9" s="200"/>
      <c r="G9" s="200"/>
      <c r="H9" s="200"/>
      <c r="I9" s="200"/>
      <c r="J9" s="201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16"/>
      <c r="AJ9" s="216"/>
      <c r="AK9" s="216"/>
      <c r="AL9" s="216"/>
      <c r="AM9" s="202"/>
      <c r="AN9" s="202"/>
      <c r="AO9" s="202"/>
      <c r="AP9" s="202"/>
      <c r="AQ9" s="202"/>
      <c r="AR9" s="202"/>
      <c r="AS9" s="202"/>
      <c r="AT9" s="202"/>
    </row>
    <row r="10" spans="1:49">
      <c r="A10" s="198" t="e">
        <f>#REF!</f>
        <v>#REF!</v>
      </c>
      <c r="B10" s="217" t="e">
        <f>#REF!</f>
        <v>#REF!</v>
      </c>
      <c r="C10" s="200"/>
      <c r="D10" s="217" t="e">
        <f>#REF!</f>
        <v>#REF!</v>
      </c>
      <c r="E10" s="218"/>
      <c r="F10" s="218" t="e">
        <f t="shared" ref="F10:F17" si="0">IF((B10-D10)=SUM(H10:AW10),"TRUE","FALSE")</f>
        <v>#REF!</v>
      </c>
      <c r="G10" s="218"/>
      <c r="H10" s="219" t="e">
        <f t="shared" ref="H10:H17" si="1">B10-D10-SUM(J10:AV10)</f>
        <v>#REF!</v>
      </c>
      <c r="I10" s="219"/>
      <c r="J10" s="220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21"/>
      <c r="AJ10" s="219"/>
      <c r="AK10" s="221"/>
      <c r="AL10" s="219"/>
      <c r="AM10" s="222"/>
      <c r="AN10" s="222"/>
      <c r="AO10" s="222"/>
      <c r="AP10" s="222"/>
      <c r="AQ10" s="222"/>
      <c r="AR10" s="222"/>
      <c r="AS10" s="222"/>
      <c r="AT10" s="219"/>
      <c r="AU10" s="223"/>
      <c r="AV10" s="219"/>
    </row>
    <row r="11" spans="1:49">
      <c r="A11" s="198" t="e">
        <f>#REF!</f>
        <v>#REF!</v>
      </c>
      <c r="B11" s="217" t="e">
        <f>#REF!</f>
        <v>#REF!</v>
      </c>
      <c r="C11" s="200"/>
      <c r="D11" s="217" t="e">
        <f>#REF!</f>
        <v>#REF!</v>
      </c>
      <c r="E11" s="218"/>
      <c r="F11" s="218" t="e">
        <f t="shared" si="0"/>
        <v>#REF!</v>
      </c>
      <c r="G11" s="218"/>
      <c r="H11" s="224" t="e">
        <f t="shared" si="1"/>
        <v>#REF!</v>
      </c>
      <c r="I11" s="219"/>
      <c r="J11" s="220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21"/>
      <c r="AJ11" s="219"/>
      <c r="AK11" s="221"/>
      <c r="AL11" s="219"/>
      <c r="AM11" s="222"/>
      <c r="AN11" s="222"/>
      <c r="AO11" s="222"/>
      <c r="AP11" s="222"/>
      <c r="AQ11" s="222"/>
      <c r="AR11" s="222"/>
      <c r="AS11" s="222"/>
      <c r="AT11" s="219"/>
      <c r="AU11" s="223"/>
      <c r="AV11" s="219"/>
    </row>
    <row r="12" spans="1:49">
      <c r="A12" s="198" t="e">
        <f>#REF!</f>
        <v>#REF!</v>
      </c>
      <c r="B12" s="217" t="e">
        <f>#REF!</f>
        <v>#REF!</v>
      </c>
      <c r="C12" s="200"/>
      <c r="D12" s="217" t="e">
        <f>#REF!</f>
        <v>#REF!</v>
      </c>
      <c r="E12" s="218"/>
      <c r="F12" s="218" t="e">
        <f t="shared" si="0"/>
        <v>#REF!</v>
      </c>
      <c r="G12" s="218"/>
      <c r="H12" s="224" t="e">
        <f t="shared" si="1"/>
        <v>#REF!</v>
      </c>
      <c r="I12" s="219"/>
      <c r="J12" s="220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21"/>
      <c r="AJ12" s="219"/>
      <c r="AK12" s="221"/>
      <c r="AL12" s="219"/>
      <c r="AM12" s="222"/>
      <c r="AN12" s="222"/>
      <c r="AO12" s="222"/>
      <c r="AP12" s="222"/>
      <c r="AQ12" s="222"/>
      <c r="AR12" s="222"/>
      <c r="AS12" s="222"/>
      <c r="AT12" s="219"/>
      <c r="AU12" s="223"/>
      <c r="AV12" s="219"/>
    </row>
    <row r="13" spans="1:49">
      <c r="A13" s="198" t="e">
        <f>#REF!</f>
        <v>#REF!</v>
      </c>
      <c r="B13" s="217" t="e">
        <f>#REF!</f>
        <v>#REF!</v>
      </c>
      <c r="C13" s="200"/>
      <c r="D13" s="217" t="e">
        <f>#REF!</f>
        <v>#REF!</v>
      </c>
      <c r="E13" s="218"/>
      <c r="F13" s="218" t="e">
        <f t="shared" si="0"/>
        <v>#REF!</v>
      </c>
      <c r="G13" s="218"/>
      <c r="H13" s="224" t="e">
        <f t="shared" si="1"/>
        <v>#REF!</v>
      </c>
      <c r="I13" s="219"/>
      <c r="J13" s="220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21"/>
      <c r="AJ13" s="219"/>
      <c r="AK13" s="221"/>
      <c r="AL13" s="219"/>
      <c r="AM13" s="222"/>
      <c r="AN13" s="222"/>
      <c r="AO13" s="222"/>
      <c r="AP13" s="222"/>
      <c r="AQ13" s="222"/>
      <c r="AR13" s="222"/>
      <c r="AS13" s="222"/>
      <c r="AT13" s="219"/>
      <c r="AU13" s="223"/>
      <c r="AV13" s="219"/>
    </row>
    <row r="14" spans="1:49">
      <c r="A14" s="198" t="e">
        <f>#REF!</f>
        <v>#REF!</v>
      </c>
      <c r="B14" s="217" t="e">
        <f>#REF!</f>
        <v>#REF!</v>
      </c>
      <c r="C14" s="200"/>
      <c r="D14" s="217" t="e">
        <f>#REF!</f>
        <v>#REF!</v>
      </c>
      <c r="E14" s="218"/>
      <c r="F14" s="218" t="e">
        <f t="shared" si="0"/>
        <v>#REF!</v>
      </c>
      <c r="G14" s="218"/>
      <c r="H14" s="224" t="e">
        <f t="shared" si="1"/>
        <v>#REF!</v>
      </c>
      <c r="I14" s="219"/>
      <c r="J14" s="220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21"/>
      <c r="AJ14" s="219"/>
      <c r="AK14" s="221"/>
      <c r="AL14" s="219"/>
      <c r="AM14" s="222"/>
      <c r="AN14" s="222"/>
      <c r="AO14" s="222"/>
      <c r="AP14" s="222"/>
      <c r="AQ14" s="222"/>
      <c r="AR14" s="222"/>
      <c r="AS14" s="222"/>
      <c r="AT14" s="219"/>
      <c r="AU14" s="223"/>
      <c r="AV14" s="219"/>
    </row>
    <row r="15" spans="1:49">
      <c r="A15" s="198" t="e">
        <f>#REF!</f>
        <v>#REF!</v>
      </c>
      <c r="B15" s="217" t="e">
        <f>#REF!</f>
        <v>#REF!</v>
      </c>
      <c r="C15" s="200"/>
      <c r="D15" s="217" t="e">
        <f>#REF!</f>
        <v>#REF!</v>
      </c>
      <c r="E15" s="218"/>
      <c r="F15" s="218" t="e">
        <f t="shared" si="0"/>
        <v>#REF!</v>
      </c>
      <c r="G15" s="218"/>
      <c r="H15" s="224" t="e">
        <f t="shared" si="1"/>
        <v>#REF!</v>
      </c>
      <c r="I15" s="219"/>
      <c r="J15" s="220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21"/>
      <c r="AJ15" s="219"/>
      <c r="AK15" s="221"/>
      <c r="AL15" s="219"/>
      <c r="AM15" s="222"/>
      <c r="AN15" s="222"/>
      <c r="AO15" s="222"/>
      <c r="AP15" s="222"/>
      <c r="AQ15" s="222"/>
      <c r="AR15" s="222"/>
      <c r="AS15" s="222"/>
      <c r="AT15" s="219"/>
      <c r="AU15" s="223"/>
      <c r="AV15" s="219"/>
    </row>
    <row r="16" spans="1:49">
      <c r="A16" s="198" t="e">
        <f>#REF!</f>
        <v>#REF!</v>
      </c>
      <c r="B16" s="217" t="e">
        <f>#REF!</f>
        <v>#REF!</v>
      </c>
      <c r="C16" s="200"/>
      <c r="D16" s="217" t="e">
        <f>#REF!</f>
        <v>#REF!</v>
      </c>
      <c r="E16" s="218"/>
      <c r="F16" s="218" t="e">
        <f t="shared" si="0"/>
        <v>#REF!</v>
      </c>
      <c r="G16" s="218"/>
      <c r="H16" s="224" t="e">
        <f t="shared" si="1"/>
        <v>#REF!</v>
      </c>
      <c r="I16" s="219"/>
      <c r="J16" s="220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21"/>
      <c r="AJ16" s="219"/>
      <c r="AK16" s="221"/>
      <c r="AL16" s="219"/>
      <c r="AM16" s="222"/>
      <c r="AN16" s="222"/>
      <c r="AO16" s="222"/>
      <c r="AP16" s="222"/>
      <c r="AQ16" s="222"/>
      <c r="AR16" s="222"/>
      <c r="AS16" s="222"/>
      <c r="AT16" s="219"/>
      <c r="AU16" s="223"/>
      <c r="AV16" s="219"/>
    </row>
    <row r="17" spans="1:48">
      <c r="A17" s="198" t="e">
        <f>#REF!</f>
        <v>#REF!</v>
      </c>
      <c r="B17" s="217" t="e">
        <f>#REF!</f>
        <v>#REF!</v>
      </c>
      <c r="C17" s="200"/>
      <c r="D17" s="217" t="e">
        <f>#REF!</f>
        <v>#REF!</v>
      </c>
      <c r="E17" s="218"/>
      <c r="F17" s="218" t="e">
        <f t="shared" si="0"/>
        <v>#REF!</v>
      </c>
      <c r="G17" s="218"/>
      <c r="H17" s="224" t="e">
        <f t="shared" si="1"/>
        <v>#REF!</v>
      </c>
      <c r="I17" s="219"/>
      <c r="J17" s="220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21"/>
      <c r="AJ17" s="219"/>
      <c r="AK17" s="221"/>
      <c r="AL17" s="219"/>
      <c r="AM17" s="222"/>
      <c r="AN17" s="222"/>
      <c r="AO17" s="222"/>
      <c r="AP17" s="222"/>
      <c r="AQ17" s="222"/>
      <c r="AR17" s="222"/>
      <c r="AS17" s="222"/>
      <c r="AT17" s="219"/>
      <c r="AU17" s="223"/>
      <c r="AV17" s="219"/>
    </row>
    <row r="18" spans="1:48">
      <c r="B18" s="217"/>
      <c r="C18" s="200"/>
      <c r="D18" s="217"/>
      <c r="E18" s="225"/>
      <c r="F18" s="225"/>
      <c r="G18" s="225"/>
      <c r="H18" s="219"/>
      <c r="I18" s="219"/>
      <c r="J18" s="220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21"/>
      <c r="AJ18" s="219"/>
      <c r="AK18" s="221"/>
      <c r="AL18" s="219"/>
      <c r="AM18" s="222"/>
      <c r="AN18" s="222"/>
      <c r="AO18" s="222"/>
      <c r="AP18" s="222"/>
      <c r="AQ18" s="222"/>
      <c r="AR18" s="222"/>
      <c r="AS18" s="222"/>
      <c r="AT18" s="219"/>
      <c r="AU18" s="223"/>
      <c r="AV18" s="219"/>
    </row>
    <row r="19" spans="1:48">
      <c r="A19" s="198" t="s">
        <v>972</v>
      </c>
      <c r="B19" s="217"/>
      <c r="C19" s="200"/>
      <c r="D19" s="217"/>
      <c r="E19" s="200"/>
      <c r="F19" s="200"/>
      <c r="G19" s="200"/>
      <c r="H19" s="219"/>
      <c r="I19" s="219"/>
      <c r="J19" s="220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21"/>
      <c r="AJ19" s="219"/>
      <c r="AK19" s="221"/>
      <c r="AL19" s="219"/>
      <c r="AM19" s="222"/>
      <c r="AN19" s="222"/>
      <c r="AO19" s="222"/>
      <c r="AP19" s="222"/>
      <c r="AQ19" s="222"/>
      <c r="AR19" s="222"/>
      <c r="AS19" s="222"/>
      <c r="AT19" s="219"/>
      <c r="AU19" s="223"/>
      <c r="AV19" s="219"/>
    </row>
    <row r="20" spans="1:48">
      <c r="A20" s="198" t="e">
        <f>#REF!</f>
        <v>#REF!</v>
      </c>
      <c r="B20" s="217" t="e">
        <f>#REF!</f>
        <v>#REF!</v>
      </c>
      <c r="C20" s="200"/>
      <c r="D20" s="217" t="e">
        <f>#REF!</f>
        <v>#REF!</v>
      </c>
      <c r="E20" s="200"/>
      <c r="F20" s="218" t="e">
        <f t="shared" ref="F20:F25" si="2">IF((B20-D20)=SUM(H20:AW20),"TRUE","FALSE")</f>
        <v>#REF!</v>
      </c>
      <c r="G20" s="200"/>
      <c r="H20" s="224" t="e">
        <f t="shared" ref="H20:H25" si="3">B20-D20-SUM(J20:AV20)</f>
        <v>#REF!</v>
      </c>
      <c r="I20" s="219"/>
      <c r="J20" s="220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21"/>
      <c r="AJ20" s="219"/>
      <c r="AK20" s="221"/>
      <c r="AL20" s="219"/>
      <c r="AM20" s="222"/>
      <c r="AN20" s="222"/>
      <c r="AO20" s="222"/>
      <c r="AP20" s="222"/>
      <c r="AQ20" s="222"/>
      <c r="AR20" s="222"/>
      <c r="AS20" s="222"/>
      <c r="AT20" s="219"/>
      <c r="AU20" s="223"/>
      <c r="AV20" s="219"/>
    </row>
    <row r="21" spans="1:48">
      <c r="A21" s="198" t="e">
        <f>#REF!</f>
        <v>#REF!</v>
      </c>
      <c r="B21" s="217" t="e">
        <f>#REF!</f>
        <v>#REF!</v>
      </c>
      <c r="C21" s="200"/>
      <c r="D21" s="217" t="e">
        <f>#REF!</f>
        <v>#REF!</v>
      </c>
      <c r="E21" s="226"/>
      <c r="F21" s="218" t="e">
        <f t="shared" si="2"/>
        <v>#REF!</v>
      </c>
      <c r="G21" s="226"/>
      <c r="H21" s="224" t="e">
        <f t="shared" si="3"/>
        <v>#REF!</v>
      </c>
      <c r="I21" s="219"/>
      <c r="J21" s="220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21"/>
      <c r="AJ21" s="219"/>
      <c r="AK21" s="221"/>
      <c r="AL21" s="219"/>
      <c r="AM21" s="222"/>
      <c r="AN21" s="222"/>
      <c r="AO21" s="222"/>
      <c r="AP21" s="222"/>
      <c r="AQ21" s="222"/>
      <c r="AR21" s="222"/>
      <c r="AS21" s="222"/>
      <c r="AT21" s="219"/>
      <c r="AU21" s="223"/>
      <c r="AV21" s="219"/>
    </row>
    <row r="22" spans="1:48">
      <c r="A22" s="198" t="e">
        <f>#REF!</f>
        <v>#REF!</v>
      </c>
      <c r="B22" s="217" t="e">
        <f>#REF!</f>
        <v>#REF!</v>
      </c>
      <c r="C22" s="200"/>
      <c r="D22" s="217" t="e">
        <f>#REF!</f>
        <v>#REF!</v>
      </c>
      <c r="E22" s="225"/>
      <c r="F22" s="218" t="e">
        <f t="shared" si="2"/>
        <v>#REF!</v>
      </c>
      <c r="G22" s="225"/>
      <c r="H22" s="224" t="e">
        <f t="shared" si="3"/>
        <v>#REF!</v>
      </c>
      <c r="I22" s="219"/>
      <c r="J22" s="220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21"/>
      <c r="AJ22" s="219"/>
      <c r="AK22" s="221"/>
      <c r="AL22" s="219"/>
      <c r="AM22" s="222"/>
      <c r="AN22" s="222"/>
      <c r="AO22" s="222"/>
      <c r="AP22" s="222"/>
      <c r="AQ22" s="222"/>
      <c r="AR22" s="222"/>
      <c r="AS22" s="222"/>
      <c r="AT22" s="219"/>
      <c r="AU22" s="223"/>
      <c r="AV22" s="219"/>
    </row>
    <row r="23" spans="1:48">
      <c r="A23" s="198" t="e">
        <f>#REF!</f>
        <v>#REF!</v>
      </c>
      <c r="B23" s="217" t="e">
        <f>#REF!</f>
        <v>#REF!</v>
      </c>
      <c r="C23" s="200"/>
      <c r="D23" s="217" t="e">
        <f>#REF!</f>
        <v>#REF!</v>
      </c>
      <c r="E23" s="225"/>
      <c r="F23" s="218" t="e">
        <f t="shared" si="2"/>
        <v>#REF!</v>
      </c>
      <c r="G23" s="225"/>
      <c r="H23" s="219" t="e">
        <f t="shared" si="3"/>
        <v>#REF!</v>
      </c>
      <c r="I23" s="219"/>
      <c r="J23" s="220">
        <v>5</v>
      </c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24">
        <f>-21810-822+1</f>
        <v>-22631</v>
      </c>
      <c r="W23" s="219"/>
      <c r="X23" s="219"/>
      <c r="Y23" s="219"/>
      <c r="Z23" s="219"/>
      <c r="AA23" s="219"/>
      <c r="AB23" s="224">
        <v>9820</v>
      </c>
      <c r="AC23" s="219"/>
      <c r="AD23" s="224">
        <v>-2981</v>
      </c>
      <c r="AE23" s="219"/>
      <c r="AF23" s="219"/>
      <c r="AG23" s="219"/>
      <c r="AH23" s="219"/>
      <c r="AI23" s="221"/>
      <c r="AJ23" s="219"/>
      <c r="AK23" s="221"/>
      <c r="AL23" s="219"/>
      <c r="AM23" s="222"/>
      <c r="AN23" s="222"/>
      <c r="AO23" s="222"/>
      <c r="AP23" s="222"/>
      <c r="AQ23" s="222"/>
      <c r="AR23" s="222"/>
      <c r="AS23" s="222"/>
      <c r="AT23" s="219"/>
      <c r="AU23" s="223"/>
      <c r="AV23" s="219"/>
    </row>
    <row r="24" spans="1:48">
      <c r="A24" s="198" t="e">
        <f>#REF!</f>
        <v>#REF!</v>
      </c>
      <c r="B24" s="217" t="e">
        <f>#REF!</f>
        <v>#REF!</v>
      </c>
      <c r="C24" s="200"/>
      <c r="D24" s="217" t="e">
        <f>#REF!</f>
        <v>#REF!</v>
      </c>
      <c r="E24" s="225"/>
      <c r="F24" s="218" t="e">
        <f t="shared" si="2"/>
        <v>#REF!</v>
      </c>
      <c r="G24" s="225"/>
      <c r="H24" s="224" t="e">
        <f t="shared" si="3"/>
        <v>#REF!</v>
      </c>
      <c r="I24" s="219"/>
      <c r="J24" s="220">
        <v>-5</v>
      </c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24">
        <v>-19</v>
      </c>
      <c r="W24" s="219"/>
      <c r="X24" s="219"/>
      <c r="Y24" s="219"/>
      <c r="Z24" s="219"/>
      <c r="AA24" s="219"/>
      <c r="AB24" s="224">
        <v>43</v>
      </c>
      <c r="AC24" s="219"/>
      <c r="AD24" s="224"/>
      <c r="AE24" s="219"/>
      <c r="AF24" s="219"/>
      <c r="AG24" s="219"/>
      <c r="AH24" s="219"/>
      <c r="AI24" s="221"/>
      <c r="AJ24" s="219"/>
      <c r="AK24" s="221"/>
      <c r="AL24" s="219"/>
      <c r="AM24" s="222"/>
      <c r="AN24" s="222"/>
      <c r="AO24" s="222"/>
      <c r="AP24" s="222"/>
      <c r="AQ24" s="222"/>
      <c r="AR24" s="222"/>
      <c r="AS24" s="222"/>
      <c r="AT24" s="219"/>
      <c r="AU24" s="223"/>
      <c r="AV24" s="219"/>
    </row>
    <row r="25" spans="1:48">
      <c r="A25" s="198" t="e">
        <f>#REF!</f>
        <v>#REF!</v>
      </c>
      <c r="B25" s="217" t="e">
        <f>#REF!</f>
        <v>#REF!</v>
      </c>
      <c r="C25" s="200"/>
      <c r="D25" s="217" t="e">
        <f>#REF!</f>
        <v>#REF!</v>
      </c>
      <c r="E25" s="225"/>
      <c r="F25" s="218" t="e">
        <f t="shared" si="2"/>
        <v>#REF!</v>
      </c>
      <c r="G25" s="225"/>
      <c r="H25" s="224" t="e">
        <f t="shared" si="3"/>
        <v>#REF!</v>
      </c>
      <c r="I25" s="219"/>
      <c r="J25" s="220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21"/>
      <c r="AJ25" s="219"/>
      <c r="AK25" s="221"/>
      <c r="AL25" s="219"/>
      <c r="AM25" s="222"/>
      <c r="AN25" s="222"/>
      <c r="AO25" s="222"/>
      <c r="AP25" s="222"/>
      <c r="AQ25" s="222"/>
      <c r="AR25" s="222"/>
      <c r="AS25" s="222"/>
      <c r="AT25" s="219"/>
      <c r="AU25" s="223"/>
      <c r="AV25" s="219"/>
    </row>
    <row r="26" spans="1:48">
      <c r="B26" s="217"/>
      <c r="C26" s="200"/>
      <c r="D26" s="217"/>
      <c r="E26" s="200"/>
      <c r="F26" s="200"/>
      <c r="G26" s="200"/>
      <c r="H26" s="219"/>
      <c r="I26" s="219"/>
      <c r="J26" s="220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21"/>
      <c r="AJ26" s="219"/>
      <c r="AK26" s="221"/>
      <c r="AL26" s="221"/>
      <c r="AM26" s="222"/>
      <c r="AN26" s="222"/>
      <c r="AO26" s="222"/>
      <c r="AP26" s="222"/>
      <c r="AQ26" s="222"/>
      <c r="AR26" s="222"/>
      <c r="AS26" s="222"/>
      <c r="AT26" s="222"/>
      <c r="AU26" s="223"/>
      <c r="AV26" s="223"/>
    </row>
    <row r="27" spans="1:48">
      <c r="A27" s="198" t="s">
        <v>973</v>
      </c>
      <c r="B27" s="217" t="e">
        <f>SUM(B10:B26)</f>
        <v>#REF!</v>
      </c>
      <c r="C27" s="200"/>
      <c r="D27" s="217" t="e">
        <f>SUM(D10:D26)</f>
        <v>#REF!</v>
      </c>
      <c r="E27" s="225"/>
      <c r="F27" s="225"/>
      <c r="G27" s="225"/>
      <c r="H27" s="219"/>
      <c r="I27" s="219"/>
      <c r="J27" s="220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21"/>
      <c r="AJ27" s="219"/>
      <c r="AK27" s="221"/>
      <c r="AL27" s="219"/>
      <c r="AM27" s="222"/>
      <c r="AN27" s="222"/>
      <c r="AO27" s="222"/>
      <c r="AP27" s="222"/>
      <c r="AQ27" s="222"/>
      <c r="AR27" s="222"/>
      <c r="AS27" s="222"/>
      <c r="AT27" s="219"/>
      <c r="AU27" s="223"/>
      <c r="AV27" s="219"/>
    </row>
    <row r="28" spans="1:48">
      <c r="B28" s="217"/>
      <c r="C28" s="200"/>
      <c r="D28" s="217"/>
      <c r="E28" s="200"/>
      <c r="F28" s="200"/>
      <c r="G28" s="200"/>
      <c r="H28" s="219"/>
      <c r="I28" s="219"/>
      <c r="J28" s="220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21"/>
      <c r="AJ28" s="221"/>
      <c r="AK28" s="221"/>
      <c r="AL28" s="221"/>
      <c r="AM28" s="222"/>
      <c r="AN28" s="222"/>
      <c r="AO28" s="222"/>
      <c r="AP28" s="222"/>
      <c r="AQ28" s="222"/>
      <c r="AR28" s="222"/>
      <c r="AS28" s="222"/>
      <c r="AT28" s="222"/>
      <c r="AU28" s="223"/>
      <c r="AV28" s="223"/>
    </row>
    <row r="29" spans="1:48">
      <c r="A29" s="211" t="s">
        <v>974</v>
      </c>
      <c r="B29" s="217"/>
      <c r="C29" s="200"/>
      <c r="D29" s="217"/>
      <c r="E29" s="200"/>
      <c r="F29" s="200"/>
      <c r="G29" s="200"/>
      <c r="H29" s="219"/>
      <c r="I29" s="219"/>
      <c r="J29" s="220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21"/>
      <c r="AJ29" s="221"/>
      <c r="AK29" s="221"/>
      <c r="AL29" s="221"/>
      <c r="AM29" s="222"/>
      <c r="AN29" s="222"/>
      <c r="AO29" s="222"/>
      <c r="AP29" s="222"/>
      <c r="AQ29" s="222"/>
      <c r="AR29" s="222"/>
      <c r="AS29" s="222"/>
      <c r="AT29" s="222"/>
      <c r="AU29" s="223"/>
      <c r="AV29" s="223"/>
    </row>
    <row r="30" spans="1:48">
      <c r="B30" s="217"/>
      <c r="C30" s="200"/>
      <c r="D30" s="217"/>
      <c r="E30" s="200"/>
      <c r="F30" s="200"/>
      <c r="G30" s="200"/>
      <c r="H30" s="219"/>
      <c r="I30" s="219"/>
      <c r="J30" s="220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21"/>
      <c r="AJ30" s="221"/>
      <c r="AK30" s="221"/>
      <c r="AL30" s="221"/>
      <c r="AM30" s="222"/>
      <c r="AN30" s="222"/>
      <c r="AO30" s="222"/>
      <c r="AP30" s="222"/>
      <c r="AQ30" s="222"/>
      <c r="AR30" s="222"/>
      <c r="AS30" s="222"/>
      <c r="AT30" s="222"/>
      <c r="AU30" s="223"/>
      <c r="AV30" s="223"/>
    </row>
    <row r="31" spans="1:48">
      <c r="A31" s="202" t="s">
        <v>971</v>
      </c>
      <c r="B31" s="217"/>
      <c r="C31" s="200"/>
      <c r="D31" s="217"/>
      <c r="E31" s="200"/>
      <c r="F31" s="200"/>
      <c r="G31" s="200"/>
      <c r="H31" s="219"/>
      <c r="I31" s="219"/>
      <c r="J31" s="220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21"/>
      <c r="AJ31" s="221"/>
      <c r="AK31" s="221"/>
      <c r="AL31" s="221"/>
      <c r="AM31" s="222"/>
      <c r="AN31" s="222"/>
      <c r="AO31" s="222"/>
      <c r="AP31" s="222"/>
      <c r="AQ31" s="222"/>
      <c r="AR31" s="222"/>
      <c r="AS31" s="222"/>
      <c r="AT31" s="222"/>
      <c r="AU31" s="223"/>
      <c r="AV31" s="223"/>
    </row>
    <row r="32" spans="1:48">
      <c r="A32" s="202"/>
      <c r="B32" s="217"/>
      <c r="C32" s="200"/>
      <c r="D32" s="217"/>
      <c r="E32" s="200"/>
      <c r="F32" s="200"/>
      <c r="G32" s="200"/>
      <c r="H32" s="219"/>
      <c r="I32" s="219"/>
      <c r="J32" s="220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21"/>
      <c r="AJ32" s="219"/>
      <c r="AK32" s="221"/>
      <c r="AL32" s="219"/>
      <c r="AM32" s="222"/>
      <c r="AN32" s="222"/>
      <c r="AO32" s="222"/>
      <c r="AP32" s="222"/>
      <c r="AQ32" s="222"/>
      <c r="AR32" s="222"/>
      <c r="AS32" s="222"/>
      <c r="AT32" s="219"/>
      <c r="AU32" s="223"/>
      <c r="AV32" s="219"/>
    </row>
    <row r="33" spans="1:48">
      <c r="A33" s="202" t="e">
        <f>#REF!</f>
        <v>#REF!</v>
      </c>
      <c r="B33" s="217" t="e">
        <f>#REF!</f>
        <v>#REF!</v>
      </c>
      <c r="C33" s="200"/>
      <c r="D33" s="217" t="e">
        <f>#REF!</f>
        <v>#REF!</v>
      </c>
      <c r="E33" s="200"/>
      <c r="F33" s="218" t="e">
        <f t="shared" ref="F33:F39" si="4">IF((B33-D33)=SUM(H33:AW33),"TRUE","FALSE")</f>
        <v>#REF!</v>
      </c>
      <c r="G33" s="200"/>
      <c r="H33" s="224" t="e">
        <f t="shared" ref="H33:H39" si="5">B33-D33-SUM(J33:AV33)</f>
        <v>#REF!</v>
      </c>
      <c r="I33" s="219"/>
      <c r="J33" s="220"/>
      <c r="K33" s="219"/>
      <c r="L33" s="219"/>
      <c r="M33" s="219"/>
      <c r="N33" s="219"/>
      <c r="O33" s="219"/>
      <c r="P33" s="219"/>
      <c r="Q33" s="219"/>
      <c r="R33" s="219">
        <v>-1576</v>
      </c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21"/>
      <c r="AJ33" s="219"/>
      <c r="AK33" s="221"/>
      <c r="AL33" s="219"/>
      <c r="AM33" s="222"/>
      <c r="AN33" s="222"/>
      <c r="AO33" s="222"/>
      <c r="AP33" s="222"/>
      <c r="AQ33" s="222"/>
      <c r="AR33" s="222"/>
      <c r="AS33" s="222"/>
      <c r="AT33" s="219"/>
      <c r="AU33" s="223"/>
      <c r="AV33" s="219"/>
    </row>
    <row r="34" spans="1:48">
      <c r="A34" s="202" t="e">
        <f>#REF!</f>
        <v>#REF!</v>
      </c>
      <c r="B34" s="217" t="e">
        <f>#REF!</f>
        <v>#REF!</v>
      </c>
      <c r="C34" s="200"/>
      <c r="D34" s="217" t="e">
        <f>#REF!</f>
        <v>#REF!</v>
      </c>
      <c r="E34" s="200"/>
      <c r="F34" s="218" t="e">
        <f t="shared" si="4"/>
        <v>#REF!</v>
      </c>
      <c r="G34" s="200"/>
      <c r="H34" s="219" t="e">
        <f t="shared" si="5"/>
        <v>#REF!</v>
      </c>
      <c r="I34" s="219"/>
      <c r="J34" s="220">
        <f>-J42</f>
        <v>-113071</v>
      </c>
      <c r="K34" s="219"/>
      <c r="L34" s="224">
        <v>57290</v>
      </c>
      <c r="M34" s="219"/>
      <c r="N34" s="219"/>
      <c r="O34" s="219"/>
      <c r="P34" s="224">
        <v>-60686</v>
      </c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24">
        <v>268527</v>
      </c>
      <c r="AC34" s="219"/>
      <c r="AD34" s="224">
        <v>-255007</v>
      </c>
      <c r="AE34" s="219"/>
      <c r="AF34" s="219"/>
      <c r="AG34" s="219"/>
      <c r="AH34" s="219"/>
      <c r="AI34" s="221"/>
      <c r="AJ34" s="219"/>
      <c r="AK34" s="221"/>
      <c r="AL34" s="219"/>
      <c r="AM34" s="222"/>
      <c r="AN34" s="222"/>
      <c r="AO34" s="222"/>
      <c r="AP34" s="222"/>
      <c r="AQ34" s="222"/>
      <c r="AR34" s="222"/>
      <c r="AS34" s="222"/>
      <c r="AT34" s="219"/>
      <c r="AU34" s="223"/>
      <c r="AV34" s="219"/>
    </row>
    <row r="35" spans="1:48">
      <c r="A35" s="202" t="e">
        <f>#REF!</f>
        <v>#REF!</v>
      </c>
      <c r="B35" s="217" t="e">
        <f>#REF!</f>
        <v>#REF!</v>
      </c>
      <c r="C35" s="200"/>
      <c r="D35" s="217" t="e">
        <f>#REF!</f>
        <v>#REF!</v>
      </c>
      <c r="E35" s="200"/>
      <c r="F35" s="218" t="e">
        <f t="shared" si="4"/>
        <v>#REF!</v>
      </c>
      <c r="G35" s="200"/>
      <c r="H35" s="224" t="e">
        <f t="shared" si="5"/>
        <v>#REF!</v>
      </c>
      <c r="I35" s="219"/>
      <c r="J35" s="220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21"/>
      <c r="AJ35" s="219"/>
      <c r="AK35" s="221"/>
      <c r="AL35" s="219"/>
      <c r="AM35" s="222"/>
      <c r="AN35" s="222"/>
      <c r="AO35" s="222"/>
      <c r="AP35" s="222"/>
      <c r="AQ35" s="222"/>
      <c r="AR35" s="222"/>
      <c r="AS35" s="222"/>
      <c r="AT35" s="219"/>
      <c r="AU35" s="223"/>
      <c r="AV35" s="219"/>
    </row>
    <row r="36" spans="1:48">
      <c r="A36" s="202" t="e">
        <f>#REF!</f>
        <v>#REF!</v>
      </c>
      <c r="B36" s="217" t="e">
        <f>#REF!</f>
        <v>#REF!</v>
      </c>
      <c r="C36" s="200"/>
      <c r="D36" s="217" t="e">
        <f>#REF!</f>
        <v>#REF!</v>
      </c>
      <c r="E36" s="200"/>
      <c r="F36" s="218" t="e">
        <f t="shared" si="4"/>
        <v>#REF!</v>
      </c>
      <c r="G36" s="200"/>
      <c r="H36" s="224" t="e">
        <f t="shared" si="5"/>
        <v>#REF!</v>
      </c>
      <c r="I36" s="219"/>
      <c r="J36" s="220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21"/>
      <c r="AJ36" s="219"/>
      <c r="AK36" s="221"/>
      <c r="AL36" s="219"/>
      <c r="AM36" s="222"/>
      <c r="AN36" s="222"/>
      <c r="AO36" s="222"/>
      <c r="AP36" s="222"/>
      <c r="AQ36" s="222"/>
      <c r="AR36" s="222"/>
      <c r="AS36" s="222"/>
      <c r="AT36" s="219"/>
      <c r="AU36" s="223"/>
      <c r="AV36" s="219"/>
    </row>
    <row r="37" spans="1:48">
      <c r="A37" s="202" t="e">
        <f>#REF!</f>
        <v>#REF!</v>
      </c>
      <c r="B37" s="217" t="e">
        <f>#REF!</f>
        <v>#REF!</v>
      </c>
      <c r="C37" s="200"/>
      <c r="D37" s="217" t="e">
        <f>#REF!</f>
        <v>#REF!</v>
      </c>
      <c r="E37" s="200"/>
      <c r="F37" s="218" t="e">
        <f t="shared" si="4"/>
        <v>#REF!</v>
      </c>
      <c r="G37" s="200"/>
      <c r="H37" s="224" t="e">
        <f t="shared" si="5"/>
        <v>#REF!</v>
      </c>
      <c r="I37" s="219"/>
      <c r="J37" s="220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21"/>
      <c r="AJ37" s="219"/>
      <c r="AK37" s="221"/>
      <c r="AL37" s="219"/>
      <c r="AM37" s="222"/>
      <c r="AN37" s="222"/>
      <c r="AO37" s="222"/>
      <c r="AP37" s="222"/>
      <c r="AQ37" s="222"/>
      <c r="AR37" s="222"/>
      <c r="AS37" s="222"/>
      <c r="AT37" s="219"/>
      <c r="AU37" s="223"/>
      <c r="AV37" s="219"/>
    </row>
    <row r="38" spans="1:48">
      <c r="A38" s="202" t="e">
        <f>#REF!</f>
        <v>#REF!</v>
      </c>
      <c r="B38" s="217" t="e">
        <f>#REF!</f>
        <v>#REF!</v>
      </c>
      <c r="C38" s="200"/>
      <c r="D38" s="217" t="e">
        <f>#REF!</f>
        <v>#REF!</v>
      </c>
      <c r="E38" s="200"/>
      <c r="F38" s="218" t="e">
        <f t="shared" si="4"/>
        <v>#REF!</v>
      </c>
      <c r="G38" s="200"/>
      <c r="H38" s="227" t="e">
        <f t="shared" si="5"/>
        <v>#REF!</v>
      </c>
      <c r="I38" s="219"/>
      <c r="J38" s="220">
        <v>0</v>
      </c>
      <c r="K38" s="219"/>
      <c r="L38" s="227">
        <v>-1308</v>
      </c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27">
        <v>19745</v>
      </c>
      <c r="AC38" s="219"/>
      <c r="AD38" s="227" t="e">
        <f>-D38</f>
        <v>#REF!</v>
      </c>
      <c r="AE38" s="219"/>
      <c r="AF38" s="219"/>
      <c r="AG38" s="219"/>
      <c r="AH38" s="219"/>
      <c r="AI38" s="221"/>
      <c r="AJ38" s="219"/>
      <c r="AK38" s="221"/>
      <c r="AL38" s="219"/>
      <c r="AM38" s="222"/>
      <c r="AN38" s="222"/>
      <c r="AO38" s="222"/>
      <c r="AP38" s="222"/>
      <c r="AQ38" s="222"/>
      <c r="AR38" s="222"/>
      <c r="AS38" s="222"/>
      <c r="AT38" s="219"/>
      <c r="AU38" s="223"/>
      <c r="AV38" s="219"/>
    </row>
    <row r="39" spans="1:48">
      <c r="A39" s="202" t="e">
        <f>#REF!</f>
        <v>#REF!</v>
      </c>
      <c r="B39" s="217" t="e">
        <f>#REF!</f>
        <v>#REF!</v>
      </c>
      <c r="C39" s="200"/>
      <c r="D39" s="217" t="e">
        <f>#REF!</f>
        <v>#REF!</v>
      </c>
      <c r="E39" s="200"/>
      <c r="F39" s="218" t="e">
        <f t="shared" si="4"/>
        <v>#REF!</v>
      </c>
      <c r="G39" s="200"/>
      <c r="H39" s="224" t="e">
        <f t="shared" si="5"/>
        <v>#REF!</v>
      </c>
      <c r="I39" s="219"/>
      <c r="J39" s="220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21"/>
      <c r="AJ39" s="219"/>
      <c r="AK39" s="221"/>
      <c r="AL39" s="219"/>
      <c r="AM39" s="222"/>
      <c r="AN39" s="222"/>
      <c r="AO39" s="222"/>
      <c r="AP39" s="222"/>
      <c r="AQ39" s="222"/>
      <c r="AR39" s="222"/>
      <c r="AS39" s="222"/>
      <c r="AT39" s="219"/>
      <c r="AU39" s="223"/>
      <c r="AV39" s="219"/>
    </row>
    <row r="40" spans="1:48">
      <c r="A40" s="202"/>
      <c r="B40" s="217"/>
      <c r="C40" s="200"/>
      <c r="D40" s="217"/>
      <c r="E40" s="200"/>
      <c r="F40" s="200"/>
      <c r="G40" s="200"/>
      <c r="H40" s="219"/>
      <c r="I40" s="219"/>
      <c r="J40" s="220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21"/>
      <c r="AJ40" s="219"/>
      <c r="AK40" s="221"/>
      <c r="AL40" s="219"/>
      <c r="AM40" s="222"/>
      <c r="AN40" s="222"/>
      <c r="AO40" s="222"/>
      <c r="AP40" s="222"/>
      <c r="AQ40" s="222"/>
      <c r="AR40" s="222"/>
      <c r="AS40" s="222"/>
      <c r="AT40" s="219"/>
      <c r="AU40" s="223"/>
      <c r="AV40" s="219"/>
    </row>
    <row r="41" spans="1:48">
      <c r="A41" s="202" t="s">
        <v>972</v>
      </c>
      <c r="B41" s="217"/>
      <c r="C41" s="200"/>
      <c r="D41" s="217"/>
      <c r="E41" s="200"/>
      <c r="F41" s="200"/>
      <c r="G41" s="200"/>
      <c r="H41" s="219"/>
      <c r="I41" s="219"/>
      <c r="J41" s="220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21"/>
      <c r="AJ41" s="219"/>
      <c r="AK41" s="221"/>
      <c r="AL41" s="219"/>
      <c r="AM41" s="222"/>
      <c r="AN41" s="222"/>
      <c r="AO41" s="222"/>
      <c r="AP41" s="222"/>
      <c r="AQ41" s="222"/>
      <c r="AR41" s="222"/>
      <c r="AS41" s="222"/>
      <c r="AT41" s="219"/>
      <c r="AU41" s="223"/>
      <c r="AV41" s="219"/>
    </row>
    <row r="42" spans="1:48">
      <c r="A42" s="202" t="e">
        <f>#REF!</f>
        <v>#REF!</v>
      </c>
      <c r="B42" s="217" t="e">
        <f>#REF!</f>
        <v>#REF!</v>
      </c>
      <c r="C42" s="200"/>
      <c r="D42" s="217" t="e">
        <f>#REF!</f>
        <v>#REF!</v>
      </c>
      <c r="E42" s="200"/>
      <c r="F42" s="218" t="e">
        <f>IF((B42-D42)=SUM(H42:AW42),"TRUE","FALSE")</f>
        <v>#REF!</v>
      </c>
      <c r="G42" s="200"/>
      <c r="H42" s="219" t="e">
        <f>B42-D42-SUM(J42:AV42)</f>
        <v>#REF!</v>
      </c>
      <c r="I42" s="219"/>
      <c r="J42" s="220">
        <v>113071</v>
      </c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21"/>
      <c r="AJ42" s="219"/>
      <c r="AK42" s="221"/>
      <c r="AL42" s="219"/>
      <c r="AM42" s="222"/>
      <c r="AN42" s="222"/>
      <c r="AO42" s="222"/>
      <c r="AP42" s="222"/>
      <c r="AQ42" s="222"/>
      <c r="AR42" s="222"/>
      <c r="AS42" s="222"/>
      <c r="AT42" s="219"/>
      <c r="AU42" s="223"/>
      <c r="AV42" s="219"/>
    </row>
    <row r="43" spans="1:48">
      <c r="A43" s="202" t="e">
        <f>#REF!</f>
        <v>#REF!</v>
      </c>
      <c r="B43" s="217" t="e">
        <f>#REF!</f>
        <v>#REF!</v>
      </c>
      <c r="C43" s="200"/>
      <c r="D43" s="217" t="e">
        <f>#REF!</f>
        <v>#REF!</v>
      </c>
      <c r="E43" s="200"/>
      <c r="F43" s="218" t="e">
        <f>IF((B43-D43)=SUM(H43:AW43),"TRUE","FALSE")</f>
        <v>#REF!</v>
      </c>
      <c r="G43" s="200"/>
      <c r="H43" s="224" t="e">
        <f>B43-D43-SUM(J43:AV43)</f>
        <v>#REF!</v>
      </c>
      <c r="I43" s="219"/>
      <c r="J43" s="220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21"/>
      <c r="AJ43" s="219"/>
      <c r="AK43" s="221"/>
      <c r="AL43" s="219"/>
      <c r="AM43" s="222"/>
      <c r="AN43" s="222"/>
      <c r="AO43" s="222"/>
      <c r="AP43" s="222"/>
      <c r="AQ43" s="222"/>
      <c r="AR43" s="222"/>
      <c r="AS43" s="222"/>
      <c r="AT43" s="219"/>
      <c r="AU43" s="223"/>
      <c r="AV43" s="219"/>
    </row>
    <row r="44" spans="1:48">
      <c r="A44" s="202" t="e">
        <f>#REF!</f>
        <v>#REF!</v>
      </c>
      <c r="B44" s="217" t="e">
        <f>#REF!</f>
        <v>#REF!</v>
      </c>
      <c r="C44" s="200"/>
      <c r="D44" s="217" t="e">
        <f>#REF!</f>
        <v>#REF!</v>
      </c>
      <c r="E44" s="200"/>
      <c r="F44" s="218" t="e">
        <f>IF((B44-D44)=SUM(H44:AW44),"TRUE","FALSE")</f>
        <v>#REF!</v>
      </c>
      <c r="G44" s="200"/>
      <c r="H44" s="224" t="e">
        <f>B44-D44-SUM(J44:AV44)</f>
        <v>#REF!</v>
      </c>
      <c r="I44" s="219"/>
      <c r="J44" s="220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21"/>
      <c r="AJ44" s="219"/>
      <c r="AK44" s="221"/>
      <c r="AL44" s="219"/>
      <c r="AM44" s="222"/>
      <c r="AN44" s="222"/>
      <c r="AO44" s="222"/>
      <c r="AP44" s="222"/>
      <c r="AQ44" s="222"/>
      <c r="AR44" s="222"/>
      <c r="AS44" s="222"/>
      <c r="AT44" s="219"/>
      <c r="AU44" s="223"/>
      <c r="AV44" s="219"/>
    </row>
    <row r="45" spans="1:48">
      <c r="A45" s="202" t="e">
        <f>#REF!</f>
        <v>#REF!</v>
      </c>
      <c r="B45" s="217" t="e">
        <f>#REF!</f>
        <v>#REF!</v>
      </c>
      <c r="C45" s="200"/>
      <c r="D45" s="217" t="e">
        <f>#REF!</f>
        <v>#REF!</v>
      </c>
      <c r="E45" s="200"/>
      <c r="F45" s="218" t="e">
        <f>IF((B45-D45)=SUM(H45:AW45),"TRUE","FALSE")</f>
        <v>#REF!</v>
      </c>
      <c r="G45" s="200"/>
      <c r="H45" s="224" t="e">
        <f>B45-D45-SUM(J45:AV45)</f>
        <v>#REF!</v>
      </c>
      <c r="I45" s="219"/>
      <c r="J45" s="220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21"/>
      <c r="AJ45" s="219"/>
      <c r="AK45" s="221"/>
      <c r="AL45" s="219"/>
      <c r="AM45" s="222"/>
      <c r="AN45" s="222"/>
      <c r="AO45" s="222"/>
      <c r="AP45" s="222"/>
      <c r="AQ45" s="222"/>
      <c r="AR45" s="222"/>
      <c r="AS45" s="222"/>
      <c r="AT45" s="219"/>
      <c r="AU45" s="223"/>
      <c r="AV45" s="219"/>
    </row>
    <row r="46" spans="1:48">
      <c r="A46" s="202"/>
      <c r="B46" s="217"/>
      <c r="C46" s="200"/>
      <c r="D46" s="217"/>
      <c r="E46" s="200"/>
      <c r="F46" s="200"/>
      <c r="G46" s="200"/>
      <c r="H46" s="219"/>
      <c r="I46" s="219"/>
      <c r="J46" s="220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21"/>
      <c r="AJ46" s="219"/>
      <c r="AK46" s="221"/>
      <c r="AL46" s="219"/>
      <c r="AM46" s="222"/>
      <c r="AN46" s="222"/>
      <c r="AO46" s="222"/>
      <c r="AP46" s="222"/>
      <c r="AQ46" s="222"/>
      <c r="AR46" s="222"/>
      <c r="AS46" s="222"/>
      <c r="AT46" s="219"/>
      <c r="AU46" s="223"/>
      <c r="AV46" s="219"/>
    </row>
    <row r="47" spans="1:48">
      <c r="A47" s="202" t="s">
        <v>975</v>
      </c>
      <c r="B47" s="217"/>
      <c r="C47" s="200"/>
      <c r="D47" s="217"/>
      <c r="E47" s="200"/>
      <c r="F47" s="200"/>
      <c r="G47" s="200"/>
      <c r="H47" s="219"/>
      <c r="I47" s="219"/>
      <c r="J47" s="220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21"/>
      <c r="AJ47" s="219"/>
      <c r="AK47" s="221"/>
      <c r="AL47" s="219"/>
      <c r="AM47" s="222"/>
      <c r="AN47" s="222"/>
      <c r="AO47" s="222"/>
      <c r="AP47" s="222"/>
      <c r="AQ47" s="222"/>
      <c r="AR47" s="222"/>
      <c r="AS47" s="222"/>
      <c r="AT47" s="219"/>
      <c r="AU47" s="223"/>
      <c r="AV47" s="219"/>
    </row>
    <row r="48" spans="1:48">
      <c r="A48" s="202" t="e">
        <f>#REF!</f>
        <v>#REF!</v>
      </c>
      <c r="B48" s="217" t="e">
        <f>#REF!</f>
        <v>#REF!</v>
      </c>
      <c r="C48" s="200"/>
      <c r="D48" s="217" t="e">
        <f>#REF!</f>
        <v>#REF!</v>
      </c>
      <c r="E48" s="200"/>
      <c r="F48" s="218" t="e">
        <f>IF((B48-D48)=SUM(H48:AW48),"TRUE","FALSE")</f>
        <v>#REF!</v>
      </c>
      <c r="G48" s="200"/>
      <c r="H48" s="219" t="e">
        <f>B48-D48-SUM(J48:AV48)</f>
        <v>#REF!</v>
      </c>
      <c r="I48" s="219"/>
      <c r="J48" s="220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21"/>
      <c r="AJ48" s="219"/>
      <c r="AK48" s="221"/>
      <c r="AL48" s="219"/>
      <c r="AM48" s="222"/>
      <c r="AN48" s="222"/>
      <c r="AO48" s="222"/>
      <c r="AP48" s="222"/>
      <c r="AQ48" s="222"/>
      <c r="AR48" s="222"/>
      <c r="AS48" s="222"/>
      <c r="AT48" s="219"/>
      <c r="AU48" s="223"/>
      <c r="AV48" s="219"/>
    </row>
    <row r="49" spans="1:48">
      <c r="A49" s="202" t="e">
        <f>#REF!</f>
        <v>#REF!</v>
      </c>
      <c r="B49" s="217" t="e">
        <f>#REF!</f>
        <v>#REF!</v>
      </c>
      <c r="C49" s="200"/>
      <c r="D49" s="217" t="e">
        <f>#REF!</f>
        <v>#REF!</v>
      </c>
      <c r="E49" s="200"/>
      <c r="F49" s="218" t="e">
        <f>IF((B49-D49)=SUM(H49:AW49),"TRUE","FALSE")</f>
        <v>#REF!</v>
      </c>
      <c r="G49" s="200"/>
      <c r="H49" s="219" t="e">
        <f>B49-D49-SUM(J49:AV49)</f>
        <v>#REF!</v>
      </c>
      <c r="I49" s="219"/>
      <c r="J49" s="220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21"/>
      <c r="AJ49" s="219"/>
      <c r="AK49" s="221"/>
      <c r="AL49" s="219"/>
      <c r="AM49" s="222"/>
      <c r="AN49" s="222"/>
      <c r="AO49" s="222"/>
      <c r="AP49" s="222"/>
      <c r="AQ49" s="222"/>
      <c r="AR49" s="222"/>
      <c r="AS49" s="222"/>
      <c r="AT49" s="219"/>
      <c r="AU49" s="223"/>
      <c r="AV49" s="219"/>
    </row>
    <row r="50" spans="1:48">
      <c r="A50" s="202" t="e">
        <f>#REF!</f>
        <v>#REF!</v>
      </c>
      <c r="B50" s="217" t="e">
        <f>#REF!</f>
        <v>#REF!</v>
      </c>
      <c r="C50" s="200"/>
      <c r="D50" s="217" t="e">
        <f>#REF!</f>
        <v>#REF!</v>
      </c>
      <c r="E50" s="200"/>
      <c r="F50" s="218" t="e">
        <f>IF((B50-D50)=SUM(H50:AW50),"TRUE","FALSE")</f>
        <v>#REF!</v>
      </c>
      <c r="G50" s="200"/>
      <c r="H50" s="219" t="e">
        <f>B50-D50-SUM(J50:AV50)</f>
        <v>#REF!</v>
      </c>
      <c r="I50" s="219"/>
      <c r="J50" s="220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21"/>
      <c r="AJ50" s="219"/>
      <c r="AK50" s="221"/>
      <c r="AL50" s="219"/>
      <c r="AM50" s="222"/>
      <c r="AN50" s="222"/>
      <c r="AO50" s="222"/>
      <c r="AP50" s="222"/>
      <c r="AQ50" s="222"/>
      <c r="AR50" s="222"/>
      <c r="AS50" s="222"/>
      <c r="AT50" s="219"/>
      <c r="AU50" s="223"/>
      <c r="AV50" s="219"/>
    </row>
    <row r="51" spans="1:48">
      <c r="A51" s="202"/>
      <c r="E51" s="200"/>
      <c r="F51" s="200"/>
      <c r="G51" s="200"/>
      <c r="H51" s="219"/>
      <c r="I51" s="219"/>
      <c r="J51" s="220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21"/>
      <c r="AJ51" s="221"/>
      <c r="AK51" s="221"/>
      <c r="AL51" s="221"/>
      <c r="AM51" s="222"/>
      <c r="AN51" s="222"/>
      <c r="AO51" s="222"/>
      <c r="AP51" s="222"/>
      <c r="AQ51" s="222"/>
      <c r="AR51" s="222"/>
      <c r="AS51" s="222"/>
      <c r="AT51" s="222"/>
      <c r="AU51" s="223"/>
      <c r="AV51" s="223"/>
    </row>
    <row r="52" spans="1:48">
      <c r="A52" s="202" t="s">
        <v>976</v>
      </c>
      <c r="B52" s="217" t="e">
        <f>SUM(B33:B51)</f>
        <v>#REF!</v>
      </c>
      <c r="C52" s="200"/>
      <c r="D52" s="217" t="e">
        <f>SUM(D33:D51)</f>
        <v>#REF!</v>
      </c>
      <c r="E52" s="200"/>
      <c r="F52" s="200"/>
      <c r="G52" s="200"/>
      <c r="H52" s="219"/>
      <c r="I52" s="219"/>
      <c r="J52" s="220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21"/>
      <c r="AJ52" s="219"/>
      <c r="AK52" s="221"/>
      <c r="AL52" s="219"/>
      <c r="AM52" s="222"/>
      <c r="AN52" s="222"/>
      <c r="AO52" s="222"/>
      <c r="AP52" s="222"/>
      <c r="AQ52" s="222"/>
      <c r="AR52" s="222"/>
      <c r="AS52" s="222"/>
      <c r="AT52" s="219"/>
      <c r="AU52" s="223"/>
      <c r="AV52" s="219"/>
    </row>
    <row r="53" spans="1:48">
      <c r="A53" s="228"/>
      <c r="E53" s="200"/>
      <c r="F53" s="200"/>
      <c r="G53" s="200"/>
      <c r="H53" s="200"/>
      <c r="I53" s="200"/>
      <c r="J53" s="201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16"/>
      <c r="AJ53" s="216"/>
      <c r="AK53" s="216"/>
      <c r="AL53" s="216"/>
      <c r="AM53" s="202"/>
      <c r="AN53" s="202"/>
      <c r="AO53" s="202"/>
      <c r="AP53" s="202"/>
      <c r="AQ53" s="202"/>
      <c r="AR53" s="202"/>
      <c r="AS53" s="202"/>
      <c r="AT53" s="202"/>
    </row>
    <row r="54" spans="1:48">
      <c r="A54" s="228" t="s">
        <v>125</v>
      </c>
      <c r="B54" s="229" t="e">
        <f>B52-B27</f>
        <v>#REF!</v>
      </c>
      <c r="D54" s="229" t="e">
        <f>D52-D27</f>
        <v>#REF!</v>
      </c>
    </row>
  </sheetData>
  <mergeCells count="3">
    <mergeCell ref="B2:D2"/>
    <mergeCell ref="H2:AV2"/>
    <mergeCell ref="AN3:AP3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M186"/>
  <sheetViews>
    <sheetView showGridLines="0" zoomScale="75" zoomScaleNormal="75" workbookViewId="0">
      <pane ySplit="2" topLeftCell="A153" activePane="bottomLeft" state="frozen"/>
      <selection pane="bottomLeft" activeCell="I170" sqref="I170"/>
    </sheetView>
  </sheetViews>
  <sheetFormatPr defaultRowHeight="16.5" outlineLevelRow="1" outlineLevelCol="1"/>
  <cols>
    <col min="1" max="1" width="0.625" customWidth="1"/>
    <col min="2" max="2" width="39" customWidth="1"/>
    <col min="3" max="3" width="12.125" customWidth="1"/>
    <col min="4" max="4" width="2.125" customWidth="1"/>
    <col min="5" max="7" width="9.875" hidden="1" customWidth="1" outlineLevel="1"/>
    <col min="8" max="8" width="2.125" hidden="1" customWidth="1" outlineLevel="1"/>
    <col min="9" max="9" width="13.125" customWidth="1"/>
    <col min="10" max="10" width="1" customWidth="1"/>
    <col min="11" max="11" width="25.25" customWidth="1" outlineLevel="1"/>
    <col min="12" max="12" width="12.125" customWidth="1" outlineLevel="1"/>
    <col min="13" max="13" width="12.375" customWidth="1" outlineLevel="1"/>
    <col min="14" max="1025" width="8.625" customWidth="1"/>
  </cols>
  <sheetData>
    <row r="1" spans="2:9">
      <c r="B1" s="230" t="s">
        <v>977</v>
      </c>
      <c r="E1" s="182" t="s">
        <v>978</v>
      </c>
      <c r="F1" s="182"/>
      <c r="G1" s="182"/>
      <c r="H1" s="182"/>
    </row>
    <row r="2" spans="2:9">
      <c r="C2" s="231">
        <v>41455</v>
      </c>
      <c r="I2" s="231">
        <v>41274</v>
      </c>
    </row>
    <row r="3" spans="2:9">
      <c r="B3" s="232" t="s">
        <v>969</v>
      </c>
      <c r="C3" s="233"/>
      <c r="D3" s="233"/>
      <c r="E3" s="233"/>
      <c r="F3" s="233"/>
      <c r="G3" s="233"/>
      <c r="H3" s="233"/>
      <c r="I3" s="233"/>
    </row>
    <row r="5" spans="2:9">
      <c r="B5" s="234" t="s">
        <v>141</v>
      </c>
      <c r="C5" s="234"/>
      <c r="D5" s="234"/>
      <c r="E5" s="234"/>
      <c r="F5" s="234"/>
      <c r="G5" s="234"/>
      <c r="H5" s="234"/>
      <c r="I5" s="234"/>
    </row>
    <row r="6" spans="2:9">
      <c r="B6" s="198"/>
      <c r="C6" s="198"/>
      <c r="D6" s="198"/>
      <c r="E6" s="235"/>
      <c r="F6" s="235"/>
      <c r="G6" s="235"/>
      <c r="H6" s="235"/>
      <c r="I6" s="198"/>
    </row>
    <row r="7" spans="2:9" s="236" customFormat="1" outlineLevel="1">
      <c r="B7" s="237"/>
      <c r="C7" s="231">
        <f>$C$2</f>
        <v>41455</v>
      </c>
      <c r="D7" s="237"/>
      <c r="E7" s="238" t="s">
        <v>979</v>
      </c>
      <c r="F7" s="238" t="s">
        <v>980</v>
      </c>
      <c r="G7" s="238" t="s">
        <v>981</v>
      </c>
      <c r="H7" s="237"/>
      <c r="I7" s="231">
        <f>$I$2</f>
        <v>41274</v>
      </c>
    </row>
    <row r="8" spans="2:9" outlineLevel="1">
      <c r="B8" s="197" t="s">
        <v>142</v>
      </c>
      <c r="C8" s="239">
        <f>ROUND(SUMIFS(Base!J:J,Base!O:O,'Notas explicativas'!$B$5,Base!P:P,'Notas explicativas'!B8)/1000,0)</f>
        <v>21</v>
      </c>
      <c r="D8" s="200"/>
      <c r="E8" s="240">
        <f>C8-I8</f>
        <v>-23</v>
      </c>
      <c r="F8" s="241">
        <f>IFERROR(E8/I8,0)</f>
        <v>-0.52272727272727271</v>
      </c>
      <c r="G8" s="241">
        <f>IFERROR(C8/$C$12,0)</f>
        <v>1.48022837809262E-3</v>
      </c>
      <c r="H8" s="200"/>
      <c r="I8" s="239">
        <f>ROUND(SUMIFS(Base!F:F,Base!O:O,'Notas explicativas'!$B$5,Base!P:P,'Notas explicativas'!B8)/1000,0)</f>
        <v>44</v>
      </c>
    </row>
    <row r="9" spans="2:9" outlineLevel="1">
      <c r="B9" s="197" t="s">
        <v>982</v>
      </c>
      <c r="C9" s="239"/>
      <c r="D9" s="200"/>
      <c r="E9" s="240"/>
      <c r="F9" s="241"/>
      <c r="G9" s="241"/>
      <c r="H9" s="200"/>
      <c r="I9" s="239"/>
    </row>
    <row r="10" spans="2:9" outlineLevel="1">
      <c r="B10" s="197" t="s">
        <v>162</v>
      </c>
      <c r="C10" s="239">
        <f>ROUND(SUMIFS(Base!J:J,Base!O:O,'Notas explicativas'!$B$5,Base!P:P,'Notas explicativas'!B10)/1000,0)</f>
        <v>11243</v>
      </c>
      <c r="D10" s="200"/>
      <c r="E10" s="240">
        <f>C10-I10</f>
        <v>-10876</v>
      </c>
      <c r="F10" s="241">
        <f>IFERROR(E10/I10,0)</f>
        <v>-0.49170396491703966</v>
      </c>
      <c r="G10" s="241">
        <f>IFERROR(C10/$C$12,0)</f>
        <v>0.79248607880453936</v>
      </c>
      <c r="H10" s="200"/>
      <c r="I10" s="239">
        <f>ROUND(SUMIFS(Base!F:F,Base!O:O,'Notas explicativas'!$B$5,Base!P:P,'Notas explicativas'!B10)/1000,0)</f>
        <v>22119</v>
      </c>
    </row>
    <row r="11" spans="2:9" outlineLevel="1">
      <c r="B11" s="197" t="s">
        <v>170</v>
      </c>
      <c r="C11" s="239">
        <f>ROUND(SUMIFS(Base!J:J,Base!O:O,'Notas explicativas'!$B$5,Base!P:P,'Notas explicativas'!B11)/1000,0)</f>
        <v>2923</v>
      </c>
      <c r="D11" s="200"/>
      <c r="E11" s="240">
        <f>C11-I11</f>
        <v>2924</v>
      </c>
      <c r="F11" s="241">
        <f>IFERROR(E11/I11,0)</f>
        <v>-2924</v>
      </c>
      <c r="G11" s="241">
        <f>IFERROR(C11/$C$12,0)</f>
        <v>0.20603369281736802</v>
      </c>
      <c r="H11" s="200"/>
      <c r="I11" s="239">
        <f>ROUND(SUMIFS(Base!F:F,Base!O:O,'Notas explicativas'!$B$5,Base!P:P,'Notas explicativas'!B11)/1000,0)-1</f>
        <v>-1</v>
      </c>
    </row>
    <row r="12" spans="2:9" outlineLevel="1">
      <c r="B12" s="198"/>
      <c r="C12" s="242">
        <f>SUM(C8:C11)</f>
        <v>14187</v>
      </c>
      <c r="D12" s="200"/>
      <c r="E12" s="240">
        <f>C12-I12</f>
        <v>-7975</v>
      </c>
      <c r="F12" s="241">
        <f>IFERROR(E12/I12,0)</f>
        <v>-0.35985019402580992</v>
      </c>
      <c r="G12" s="241">
        <f>IFERROR(C12/$C$12,0)</f>
        <v>1</v>
      </c>
      <c r="H12" s="200"/>
      <c r="I12" s="242">
        <f>SUM(I8:I11)</f>
        <v>22162</v>
      </c>
    </row>
    <row r="13" spans="2:9">
      <c r="B13" s="198" t="s">
        <v>125</v>
      </c>
      <c r="C13" s="243" t="e">
        <f>VLOOKUP(B5,#REF!,4,0)-C12</f>
        <v>#REF!</v>
      </c>
      <c r="I13" s="243" t="e">
        <f>VLOOKUP(B5,#REF!,6,0)-I12</f>
        <v>#REF!</v>
      </c>
    </row>
    <row r="15" spans="2:9">
      <c r="B15" s="234" t="s">
        <v>264</v>
      </c>
      <c r="C15" s="234"/>
      <c r="D15" s="234"/>
      <c r="E15" s="234"/>
      <c r="F15" s="234"/>
      <c r="G15" s="234"/>
      <c r="H15" s="234"/>
      <c r="I15" s="234"/>
    </row>
    <row r="16" spans="2:9">
      <c r="B16" s="198" t="s">
        <v>279</v>
      </c>
      <c r="C16" s="198"/>
      <c r="D16" s="198"/>
      <c r="E16" s="235"/>
      <c r="F16" s="235"/>
      <c r="G16" s="235"/>
      <c r="H16" s="235"/>
      <c r="I16" s="198"/>
    </row>
    <row r="17" spans="2:13" outlineLevel="1">
      <c r="B17" s="198"/>
      <c r="C17" s="231">
        <f>$C$2</f>
        <v>41455</v>
      </c>
      <c r="D17" s="237"/>
      <c r="E17" s="238" t="s">
        <v>979</v>
      </c>
      <c r="F17" s="238" t="s">
        <v>980</v>
      </c>
      <c r="G17" s="238" t="s">
        <v>981</v>
      </c>
      <c r="H17" s="237"/>
      <c r="I17" s="231">
        <f>$I$2</f>
        <v>41274</v>
      </c>
      <c r="K17" s="244" t="s">
        <v>983</v>
      </c>
      <c r="L17" s="244" t="s">
        <v>984</v>
      </c>
      <c r="M17" s="244" t="s">
        <v>985</v>
      </c>
    </row>
    <row r="18" spans="2:13" outlineLevel="1">
      <c r="B18" s="197" t="s">
        <v>986</v>
      </c>
      <c r="C18" s="239">
        <f>ROUND(SUMIFS(Base!J:J,Base!O:O,'Notas explicativas'!$B$15,Base!P:P,'Notas explicativas'!B18)/1000,0)+ROUND(SUMIFS(Base!J:J,Base!O:O,'Notas explicativas'!$B$16,Base!P:P,'Notas explicativas'!B18)/1000,0)</f>
        <v>0</v>
      </c>
      <c r="D18" s="200"/>
      <c r="E18" s="240">
        <f t="shared" ref="E18:E23" si="0">C18-I18</f>
        <v>0</v>
      </c>
      <c r="F18" s="241">
        <f t="shared" ref="F18:F23" si="1">IFERROR(E18/I18,0)</f>
        <v>0</v>
      </c>
      <c r="G18" s="241">
        <f t="shared" ref="G18:G23" si="2">IFERROR(C18/$C$12,0)</f>
        <v>0</v>
      </c>
      <c r="H18" s="200"/>
      <c r="I18" s="239">
        <f>ROUND(SUMIFS(Base!F:F,Base!O:O,'Notas explicativas'!$B$15,Base!P:P,'Notas explicativas'!B18)/1000,0)+ROUND(SUMIFS(Base!F:F,Base!O:O,'Notas explicativas'!$B$16,Base!P:P,'Notas explicativas'!B18)/1000,0)</f>
        <v>0</v>
      </c>
      <c r="K18" s="197" t="s">
        <v>987</v>
      </c>
      <c r="L18" s="245">
        <v>41614</v>
      </c>
      <c r="M18" s="246" t="s">
        <v>988</v>
      </c>
    </row>
    <row r="19" spans="2:13" outlineLevel="1">
      <c r="B19" s="197" t="s">
        <v>989</v>
      </c>
      <c r="C19" s="239">
        <f>ROUND(SUMIFS(Base!J:J,Base!O:O,'Notas explicativas'!$B$15,Base!P:P,'Notas explicativas'!B19)/1000,0)+ROUND(SUMIFS(Base!J:J,Base!O:O,'Notas explicativas'!$B$16,Base!P:P,'Notas explicativas'!B19)/1000,0)</f>
        <v>0</v>
      </c>
      <c r="D19" s="200"/>
      <c r="E19" s="240">
        <f t="shared" si="0"/>
        <v>0</v>
      </c>
      <c r="F19" s="241">
        <f t="shared" si="1"/>
        <v>0</v>
      </c>
      <c r="G19" s="241">
        <f t="shared" si="2"/>
        <v>0</v>
      </c>
      <c r="H19" s="200"/>
      <c r="I19" s="239">
        <f>ROUND(SUMIFS(Base!F:F,Base!O:O,'Notas explicativas'!$B$15,Base!P:P,'Notas explicativas'!B19)/1000,0)+ROUND(SUMIFS(Base!F:F,Base!O:O,'Notas explicativas'!$B$16,Base!P:P,'Notas explicativas'!B19)/1000,0)</f>
        <v>0</v>
      </c>
      <c r="K19" s="197" t="s">
        <v>990</v>
      </c>
      <c r="L19" s="245">
        <v>46336</v>
      </c>
      <c r="M19" s="246" t="s">
        <v>991</v>
      </c>
    </row>
    <row r="20" spans="2:13" outlineLevel="1">
      <c r="B20" s="197" t="s">
        <v>992</v>
      </c>
      <c r="C20" s="239">
        <f>ROUND(SUMIFS(Base!J:J,Base!O:O,'Notas explicativas'!$B$15,Base!P:P,'Notas explicativas'!B20)/1000,0)+ROUND(SUMIFS(Base!J:J,Base!O:O,'Notas explicativas'!$B$16,Base!P:P,'Notas explicativas'!B20)/1000,0)</f>
        <v>23028</v>
      </c>
      <c r="D20" s="200"/>
      <c r="E20" s="240">
        <f t="shared" si="0"/>
        <v>1384</v>
      </c>
      <c r="F20" s="241">
        <f t="shared" si="1"/>
        <v>6.3943818148216591E-2</v>
      </c>
      <c r="G20" s="241">
        <f t="shared" si="2"/>
        <v>1.623176147176993</v>
      </c>
      <c r="H20" s="200"/>
      <c r="I20" s="239">
        <f>ROUND(SUMIFS(Base!F:F,Base!O:O,'Notas explicativas'!$B$15,Base!P:P,'Notas explicativas'!B20)/1000,0)+ROUND(SUMIFS(Base!F:F,Base!O:O,'Notas explicativas'!$B$16,Base!P:P,'Notas explicativas'!B20)/1000,0)</f>
        <v>21644</v>
      </c>
      <c r="K20" s="197" t="s">
        <v>990</v>
      </c>
      <c r="L20" s="245">
        <v>46007</v>
      </c>
      <c r="M20" s="246" t="s">
        <v>991</v>
      </c>
    </row>
    <row r="21" spans="2:13" outlineLevel="1">
      <c r="B21" s="197" t="s">
        <v>993</v>
      </c>
      <c r="C21" s="239">
        <f>ROUND(SUMIFS(Base!J:J,Base!O:O,'Notas explicativas'!$B$15,Base!P:P,'Notas explicativas'!B21)/1000,0)+ROUND(SUMIFS(Base!J:J,Base!O:O,'Notas explicativas'!$B$16,Base!P:P,'Notas explicativas'!B21)/1000,0)</f>
        <v>0</v>
      </c>
      <c r="D21" s="200"/>
      <c r="E21" s="240">
        <f t="shared" si="0"/>
        <v>0</v>
      </c>
      <c r="F21" s="241">
        <f t="shared" si="1"/>
        <v>0</v>
      </c>
      <c r="G21" s="241">
        <f t="shared" si="2"/>
        <v>0</v>
      </c>
      <c r="H21" s="200"/>
      <c r="I21" s="239">
        <f>ROUND(SUMIFS(Base!F:F,Base!O:O,'Notas explicativas'!$B$15,Base!P:P,'Notas explicativas'!B21)/1000,0)+ROUND(SUMIFS(Base!F:F,Base!O:O,'Notas explicativas'!$B$16,Base!P:P,'Notas explicativas'!B21)/1000,0)</f>
        <v>0</v>
      </c>
      <c r="K21" s="197" t="s">
        <v>994</v>
      </c>
      <c r="L21" s="245">
        <v>42566</v>
      </c>
      <c r="M21" s="246" t="s">
        <v>995</v>
      </c>
    </row>
    <row r="22" spans="2:13" outlineLevel="1">
      <c r="B22" s="197" t="s">
        <v>261</v>
      </c>
      <c r="C22" s="239">
        <f>ROUND(SUMIFS(Base!J:J,Base!O:O,'Notas explicativas'!$B$15,Base!P:P,'Notas explicativas'!B22)/1000,0)+ROUND(SUMIFS(Base!J:J,Base!O:O,'Notas explicativas'!$B$16,Base!P:P,'Notas explicativas'!B22)/1000,0)</f>
        <v>0</v>
      </c>
      <c r="D22" s="200"/>
      <c r="E22" s="240">
        <f t="shared" si="0"/>
        <v>0</v>
      </c>
      <c r="F22" s="241">
        <f t="shared" si="1"/>
        <v>0</v>
      </c>
      <c r="G22" s="241">
        <f t="shared" si="2"/>
        <v>0</v>
      </c>
      <c r="H22" s="200"/>
      <c r="I22" s="239">
        <f>ROUND(SUMIFS(Base!F:F,Base!O:O,'Notas explicativas'!$B$15,Base!P:P,'Notas explicativas'!B22)/1000,0)+ROUND(SUMIFS(Base!F:F,Base!O:O,'Notas explicativas'!$B$16,Base!P:P,'Notas explicativas'!B22)/1000,0)</f>
        <v>0</v>
      </c>
      <c r="K22" s="197" t="s">
        <v>990</v>
      </c>
      <c r="L22" t="s">
        <v>996</v>
      </c>
      <c r="M22" t="s">
        <v>996</v>
      </c>
    </row>
    <row r="23" spans="2:13" outlineLevel="1">
      <c r="B23" s="198"/>
      <c r="C23" s="242">
        <f>SUM(C18:C22)</f>
        <v>23028</v>
      </c>
      <c r="D23" s="200"/>
      <c r="E23" s="240">
        <f t="shared" si="0"/>
        <v>1384</v>
      </c>
      <c r="F23" s="241">
        <f t="shared" si="1"/>
        <v>6.3943818148216591E-2</v>
      </c>
      <c r="G23" s="241">
        <f t="shared" si="2"/>
        <v>1.623176147176993</v>
      </c>
      <c r="H23" s="200"/>
      <c r="I23" s="242">
        <f>SUM(I18:I22)</f>
        <v>21644</v>
      </c>
    </row>
    <row r="24" spans="2:13">
      <c r="B24" s="198"/>
      <c r="C24" s="239"/>
      <c r="I24" s="239"/>
    </row>
    <row r="25" spans="2:13">
      <c r="B25" s="197" t="s">
        <v>144</v>
      </c>
      <c r="C25" s="239" t="e">
        <f>#REF!</f>
        <v>#REF!</v>
      </c>
      <c r="I25" s="239" t="e">
        <f>#REF!</f>
        <v>#REF!</v>
      </c>
    </row>
    <row r="26" spans="2:13">
      <c r="B26" s="197" t="s">
        <v>165</v>
      </c>
      <c r="C26" s="239" t="e">
        <f>#REF!</f>
        <v>#REF!</v>
      </c>
      <c r="I26" s="239" t="e">
        <f>#REF!</f>
        <v>#REF!</v>
      </c>
    </row>
    <row r="28" spans="2:13">
      <c r="B28" t="s">
        <v>125</v>
      </c>
      <c r="C28" s="247" t="e">
        <f>C23-C26-C25</f>
        <v>#REF!</v>
      </c>
      <c r="I28" s="247" t="e">
        <f>I23-I26-I25</f>
        <v>#REF!</v>
      </c>
    </row>
    <row r="30" spans="2:13">
      <c r="B30" s="234" t="s">
        <v>175</v>
      </c>
      <c r="C30" s="234"/>
      <c r="D30" s="234"/>
      <c r="E30" s="234"/>
      <c r="F30" s="234"/>
      <c r="G30" s="234"/>
      <c r="H30" s="234"/>
      <c r="I30" s="234"/>
    </row>
    <row r="31" spans="2:13">
      <c r="B31" s="198" t="s">
        <v>276</v>
      </c>
      <c r="C31" s="198"/>
      <c r="D31" s="198"/>
      <c r="E31" s="235"/>
      <c r="F31" s="235"/>
      <c r="G31" s="235"/>
      <c r="H31" s="235"/>
      <c r="I31" s="198"/>
    </row>
    <row r="32" spans="2:13">
      <c r="B32" s="198"/>
      <c r="C32" s="231">
        <f>$C$2</f>
        <v>41455</v>
      </c>
      <c r="D32" s="237"/>
      <c r="E32" s="238" t="s">
        <v>979</v>
      </c>
      <c r="F32" s="238" t="s">
        <v>980</v>
      </c>
      <c r="G32" s="238" t="s">
        <v>981</v>
      </c>
      <c r="H32" s="237"/>
      <c r="I32" s="231">
        <f>$I$2</f>
        <v>41274</v>
      </c>
    </row>
    <row r="33" spans="2:9">
      <c r="B33" t="s">
        <v>173</v>
      </c>
      <c r="C33" s="239">
        <f>ROUND(SUMIFS(Base!J:J,Base!O:O,'Notas explicativas'!$B$30,Base!P:P,B33)/1000,0)+ROUND(SUMIFS(Base!J:J,Base!O:O,'Notas explicativas'!$B$31,Base!P:P,B33)/1000,0)</f>
        <v>0</v>
      </c>
      <c r="D33" s="200"/>
      <c r="E33" s="240">
        <f>C33-I33</f>
        <v>-4932</v>
      </c>
      <c r="F33" s="241">
        <f>IFERROR(E33/I33,0)</f>
        <v>-1</v>
      </c>
      <c r="G33" s="241">
        <f>IFERROR(C33/$C$12,0)</f>
        <v>0</v>
      </c>
      <c r="H33" s="200"/>
      <c r="I33" s="239">
        <f>ROUND(SUMIFS(Base!F:F,Base!O:O,'Notas explicativas'!$B$30,Base!P:P,B33)/1000,0)+ROUND(SUMIFS(Base!F:F,Base!O:O,'Notas explicativas'!$B$31,Base!P:P,B33)/1000,0)</f>
        <v>4932</v>
      </c>
    </row>
    <row r="34" spans="2:9">
      <c r="B34" t="s">
        <v>214</v>
      </c>
      <c r="C34" s="239">
        <f>ROUND(SUMIFS(Base!J:J,Base!O:O,'Notas explicativas'!$B$30,Base!P:P,B34)/1000,0)</f>
        <v>0</v>
      </c>
      <c r="D34" s="200"/>
      <c r="E34" s="240">
        <f>C34-I34</f>
        <v>0</v>
      </c>
      <c r="F34" s="241">
        <f>IFERROR(E34/I34,0)</f>
        <v>0</v>
      </c>
      <c r="G34" s="241">
        <f>IFERROR(C34/$C$12,0)</f>
        <v>0</v>
      </c>
      <c r="H34" s="200"/>
      <c r="I34" s="239">
        <f>ROUND(SUMIFS(Base!F:F,Base!O:O,'Notas explicativas'!$B$30,Base!P:P,B34)/1000,0)</f>
        <v>0</v>
      </c>
    </row>
    <row r="35" spans="2:9">
      <c r="B35" s="198"/>
      <c r="C35" s="242">
        <f>SUM(C33:C34)</f>
        <v>0</v>
      </c>
      <c r="D35" s="200"/>
      <c r="E35" s="240">
        <f>C35-I35</f>
        <v>-4932</v>
      </c>
      <c r="F35" s="241">
        <f>IFERROR(E35/I35,0)</f>
        <v>-1</v>
      </c>
      <c r="G35" s="241">
        <f>IFERROR(C35/$C$12,0)</f>
        <v>0</v>
      </c>
      <c r="H35" s="200"/>
      <c r="I35" s="242">
        <f>SUM(I33:I34)</f>
        <v>4932</v>
      </c>
    </row>
    <row r="36" spans="2:9">
      <c r="B36" s="198"/>
      <c r="C36" s="248"/>
      <c r="D36" s="200"/>
      <c r="E36" s="240"/>
      <c r="F36" s="241"/>
      <c r="G36" s="241"/>
      <c r="H36" s="200"/>
      <c r="I36" s="248"/>
    </row>
    <row r="37" spans="2:9">
      <c r="B37" s="198" t="s">
        <v>144</v>
      </c>
      <c r="C37" s="248" t="e">
        <f>#REF!</f>
        <v>#REF!</v>
      </c>
      <c r="D37" s="200"/>
      <c r="E37" s="240"/>
      <c r="F37" s="241"/>
      <c r="G37" s="241"/>
      <c r="H37" s="200"/>
      <c r="I37" s="248" t="e">
        <f>#REF!</f>
        <v>#REF!</v>
      </c>
    </row>
    <row r="38" spans="2:9">
      <c r="B38" s="198" t="s">
        <v>165</v>
      </c>
      <c r="C38" s="248" t="e">
        <f>#REF!</f>
        <v>#REF!</v>
      </c>
      <c r="D38" s="200"/>
      <c r="E38" s="240"/>
      <c r="F38" s="241"/>
      <c r="G38" s="241"/>
      <c r="H38" s="200"/>
      <c r="I38" s="248" t="e">
        <f>#REF!</f>
        <v>#REF!</v>
      </c>
    </row>
    <row r="39" spans="2:9">
      <c r="B39" s="198"/>
      <c r="C39" s="248"/>
      <c r="D39" s="200"/>
      <c r="E39" s="240"/>
      <c r="F39" s="241"/>
      <c r="G39" s="241"/>
      <c r="H39" s="200"/>
      <c r="I39" s="248"/>
    </row>
    <row r="40" spans="2:9">
      <c r="B40" s="198" t="s">
        <v>125</v>
      </c>
      <c r="C40" s="239" t="e">
        <f>C35-C37-C38</f>
        <v>#REF!</v>
      </c>
      <c r="I40" s="239" t="e">
        <f>I35-I37-I38</f>
        <v>#REF!</v>
      </c>
    </row>
    <row r="42" spans="2:9">
      <c r="B42" s="234" t="s">
        <v>146</v>
      </c>
      <c r="C42" s="234"/>
      <c r="D42" s="234"/>
      <c r="E42" s="234"/>
      <c r="F42" s="234"/>
      <c r="G42" s="234"/>
      <c r="H42" s="234"/>
      <c r="I42" s="234"/>
    </row>
    <row r="43" spans="2:9">
      <c r="B43" s="198"/>
      <c r="C43" s="198"/>
      <c r="D43" s="198"/>
      <c r="E43" s="235"/>
      <c r="F43" s="235"/>
      <c r="G43" s="235"/>
      <c r="H43" s="235"/>
      <c r="I43" s="198"/>
    </row>
    <row r="44" spans="2:9">
      <c r="B44" s="237"/>
      <c r="C44" s="231">
        <f>$C$2</f>
        <v>41455</v>
      </c>
      <c r="D44" s="237"/>
      <c r="E44" s="238" t="s">
        <v>979</v>
      </c>
      <c r="F44" s="238" t="s">
        <v>980</v>
      </c>
      <c r="G44" s="238" t="s">
        <v>981</v>
      </c>
      <c r="H44" s="237"/>
      <c r="I44" s="231">
        <f>$I$2</f>
        <v>41274</v>
      </c>
    </row>
    <row r="45" spans="2:9">
      <c r="B45" t="s">
        <v>253</v>
      </c>
      <c r="C45" s="239">
        <f>ROUND(SUMIFS(Base!J:J,Base!O:O,'Notas explicativas'!$B$42,Base!P:P,'Notas explicativas'!B45)/1000,0)</f>
        <v>0</v>
      </c>
      <c r="D45" s="200"/>
      <c r="E45" s="240">
        <f>C45-I45</f>
        <v>0</v>
      </c>
      <c r="F45" s="241">
        <f>IFERROR(E45/I45,0)</f>
        <v>0</v>
      </c>
      <c r="G45" s="241">
        <f>IFERROR(C45/$C$12,0)</f>
        <v>0</v>
      </c>
      <c r="H45" s="200"/>
      <c r="I45" s="239">
        <f>ROUND(SUMIFS(Base!F:F,Base!O:O,'Notas explicativas'!$B$42,Base!P:P,'Notas explicativas'!B45)/1000,0)</f>
        <v>0</v>
      </c>
    </row>
    <row r="46" spans="2:9">
      <c r="B46" t="s">
        <v>226</v>
      </c>
      <c r="C46" s="239">
        <f>ROUND(SUMIFS(Base!J:J,Base!O:O,'Notas explicativas'!$B$42,Base!P:P,'Notas explicativas'!B46)/1000,0)</f>
        <v>26771</v>
      </c>
      <c r="D46" s="200"/>
      <c r="E46" s="240"/>
      <c r="F46" s="241"/>
      <c r="G46" s="241"/>
      <c r="H46" s="200"/>
      <c r="I46" s="239">
        <f>ROUND(SUMIFS(Base!F:F,Base!O:O,'Notas explicativas'!$B$42,Base!P:P,'Notas explicativas'!B46)/1000,0)</f>
        <v>0</v>
      </c>
    </row>
    <row r="47" spans="2:9">
      <c r="B47" t="s">
        <v>257</v>
      </c>
      <c r="C47" s="239">
        <f>ROUND(SUMIFS(Base!J:J,Base!O:O,'Notas explicativas'!$B$42,Base!P:P,'Notas explicativas'!B47)/1000,0)</f>
        <v>531</v>
      </c>
      <c r="D47" s="200"/>
      <c r="E47" s="240">
        <f>C47-I47</f>
        <v>531</v>
      </c>
      <c r="F47" s="241">
        <f>IFERROR(E47/I47,0)</f>
        <v>0</v>
      </c>
      <c r="G47" s="241">
        <f>IFERROR(C47/$C$12,0)</f>
        <v>3.742863184605625E-2</v>
      </c>
      <c r="H47" s="200"/>
      <c r="I47" s="239">
        <f>ROUND(SUMIFS(Base!F:F,Base!O:O,'Notas explicativas'!$B$42,Base!P:P,'Notas explicativas'!B47)/1000,0)</f>
        <v>0</v>
      </c>
    </row>
    <row r="48" spans="2:9">
      <c r="B48" s="198"/>
      <c r="C48" s="242">
        <f>SUM(C45:C47)</f>
        <v>27302</v>
      </c>
      <c r="D48" s="200"/>
      <c r="E48" s="240">
        <f>C48-I48</f>
        <v>27302</v>
      </c>
      <c r="F48" s="241">
        <f>IFERROR(E48/I48,0)</f>
        <v>0</v>
      </c>
      <c r="G48" s="241">
        <f>IFERROR(C48/$C$12,0)</f>
        <v>1.924437865651653</v>
      </c>
      <c r="H48" s="200"/>
      <c r="I48" s="242">
        <f>SUM(I45:I47)</f>
        <v>0</v>
      </c>
    </row>
    <row r="49" spans="2:9">
      <c r="B49" s="198" t="s">
        <v>125</v>
      </c>
      <c r="C49" s="243" t="e">
        <f>VLOOKUP(B42,#REF!,4,0)-C48</f>
        <v>#REF!</v>
      </c>
      <c r="I49" s="243" t="e">
        <f>VLOOKUP(B42,#REF!,6,0)-I48</f>
        <v>#REF!</v>
      </c>
    </row>
    <row r="60" spans="2:9">
      <c r="B60" s="234" t="s">
        <v>224</v>
      </c>
      <c r="C60" s="234"/>
      <c r="D60" s="234"/>
      <c r="E60" s="234"/>
      <c r="F60" s="234"/>
      <c r="G60" s="234"/>
      <c r="H60" s="234"/>
      <c r="I60" s="234"/>
    </row>
    <row r="61" spans="2:9">
      <c r="B61" s="198" t="s">
        <v>291</v>
      </c>
      <c r="C61" s="198"/>
      <c r="D61" s="198"/>
      <c r="E61" s="235"/>
      <c r="F61" s="235"/>
      <c r="G61" s="235"/>
      <c r="H61" s="235"/>
      <c r="I61" s="198"/>
    </row>
    <row r="62" spans="2:9">
      <c r="B62" s="198"/>
      <c r="C62" s="231">
        <f>$C$2</f>
        <v>41455</v>
      </c>
      <c r="D62" s="237"/>
      <c r="E62" s="238" t="s">
        <v>979</v>
      </c>
      <c r="F62" s="238" t="s">
        <v>980</v>
      </c>
      <c r="G62" s="238" t="s">
        <v>981</v>
      </c>
      <c r="H62" s="237"/>
      <c r="I62" s="231">
        <f>$I$2</f>
        <v>41274</v>
      </c>
    </row>
    <row r="63" spans="2:9">
      <c r="B63" s="197" t="s">
        <v>237</v>
      </c>
      <c r="C63" s="239">
        <f>ROUND(SUMIFS(Base!J:J,Base!O:O,'Notas explicativas'!$B$60,Base!P:P,B63)/1000,0)+ROUND(SUMIFS(Base!J:J,Base!O:O,'Notas explicativas'!$B$61,Base!P:P,B63)/1000,0)</f>
        <v>0</v>
      </c>
      <c r="D63" s="200"/>
      <c r="E63" s="240">
        <f>C63-I63</f>
        <v>0</v>
      </c>
      <c r="F63" s="241">
        <f>IFERROR(E63/I63,0)</f>
        <v>0</v>
      </c>
      <c r="G63" s="241">
        <f>IFERROR(C63/$C$12,0)</f>
        <v>0</v>
      </c>
      <c r="H63" s="200"/>
      <c r="I63" s="239">
        <f>ROUND(SUMIFS(Base!F:F,Base!O:O,'Notas explicativas'!$B$60,Base!P:P,B63)/1000,0)+ROUND(SUMIFS(Base!F:F,Base!O:O,'Notas explicativas'!$B$61,Base!P:P,B63)/1000,0)</f>
        <v>0</v>
      </c>
    </row>
    <row r="64" spans="2:9">
      <c r="B64" s="197" t="s">
        <v>239</v>
      </c>
      <c r="C64" s="239">
        <f>ROUND(SUMIFS(Base!J:J,Base!O:O,'Notas explicativas'!$B$60,Base!P:P,B64)/1000,0)+ROUND(SUMIFS(Base!J:J,Base!O:O,'Notas explicativas'!$B$61,Base!P:P,B64)/1000,0)</f>
        <v>0</v>
      </c>
      <c r="D64" s="200"/>
      <c r="E64" s="240">
        <f>C64-I64</f>
        <v>-3111</v>
      </c>
      <c r="F64" s="241">
        <f>IFERROR(E64/I64,0)</f>
        <v>-1</v>
      </c>
      <c r="G64" s="241">
        <f>IFERROR(C64/$C$12,0)</f>
        <v>0</v>
      </c>
      <c r="H64" s="200"/>
      <c r="I64" s="239">
        <f>ROUND(SUMIFS(Base!F:F,Base!O:O,'Notas explicativas'!$B$60,Base!P:P,B64)/1000,0)+ROUND(SUMIFS(Base!F:F,Base!O:O,'Notas explicativas'!$B$61,Base!P:P,B64)/1000,0)</f>
        <v>3111</v>
      </c>
    </row>
    <row r="65" spans="2:9">
      <c r="B65" s="197" t="s">
        <v>997</v>
      </c>
      <c r="C65" s="239">
        <f>ROUND(SUMIFS(Base!J:J,Base!O:O,'Notas explicativas'!$B$60,Base!P:P,B65)/1000,0)+ROUND(SUMIFS(Base!J:J,Base!O:O,'Notas explicativas'!$B$61,Base!P:P,B65)/1000,0)</f>
        <v>0</v>
      </c>
      <c r="D65" s="200"/>
      <c r="E65" s="240">
        <f>C65-I65</f>
        <v>0</v>
      </c>
      <c r="F65" s="241">
        <f>IFERROR(E65/I65,0)</f>
        <v>0</v>
      </c>
      <c r="G65" s="241">
        <f>IFERROR(C65/$C$12,0)</f>
        <v>0</v>
      </c>
      <c r="H65" s="200"/>
      <c r="I65" s="239">
        <f>ROUND(SUMIFS(Base!F:F,Base!O:O,'Notas explicativas'!$B$60,Base!P:P,B65)/1000,0)+ROUND(SUMIFS(Base!F:F,Base!O:O,'Notas explicativas'!$B$61,Base!P:P,B65)/1000,0)</f>
        <v>0</v>
      </c>
    </row>
    <row r="66" spans="2:9">
      <c r="B66" s="197" t="s">
        <v>998</v>
      </c>
      <c r="C66" s="239">
        <f>ROUND(SUMIFS(Base!J:J,Base!O:O,'Notas explicativas'!$B$60,Base!P:P,B66)/1000,0)+ROUND(SUMIFS(Base!J:J,Base!O:O,'Notas explicativas'!$B$61,Base!P:P,B66)/1000,0)</f>
        <v>0</v>
      </c>
      <c r="D66" s="200"/>
      <c r="E66" s="240">
        <f>C66-I66</f>
        <v>0</v>
      </c>
      <c r="F66" s="241">
        <f>IFERROR(E66/I66,0)</f>
        <v>0</v>
      </c>
      <c r="G66" s="241">
        <f>IFERROR(C66/$C$12,0)</f>
        <v>0</v>
      </c>
      <c r="H66" s="200"/>
      <c r="I66" s="239">
        <f>ROUND(SUMIFS(Base!F:F,Base!O:O,'Notas explicativas'!$B$60,Base!P:P,B66)/1000,0)+ROUND(SUMIFS(Base!F:F,Base!O:O,'Notas explicativas'!$B$61,Base!P:P,B66)/1000,0)</f>
        <v>0</v>
      </c>
    </row>
    <row r="67" spans="2:9">
      <c r="B67" s="197" t="s">
        <v>222</v>
      </c>
      <c r="C67" s="239">
        <f>ROUND(SUMIFS(Base!J:J,Base!O:O,'Notas explicativas'!$B$60,Base!P:P,B67)/1000,0)+ROUND(SUMIFS(Base!J:J,Base!O:O,'Notas explicativas'!$B$61,Base!P:P,B67)/1000,0)</f>
        <v>0</v>
      </c>
      <c r="D67" s="200"/>
      <c r="E67" s="240">
        <f>C67-I67</f>
        <v>-860</v>
      </c>
      <c r="F67" s="241">
        <f>IFERROR(E67/I67,0)</f>
        <v>-1</v>
      </c>
      <c r="G67" s="241">
        <f>IFERROR(C67/$C$12,0)</f>
        <v>0</v>
      </c>
      <c r="H67" s="200"/>
      <c r="I67" s="239">
        <f>ROUND(SUMIFS(Base!F:F,Base!O:O,'Notas explicativas'!$B$60,Base!P:P,B67)/1000,0)+ROUND(SUMIFS(Base!F:F,Base!O:O,'Notas explicativas'!$B$61,Base!P:P,B67)/1000,0)</f>
        <v>860</v>
      </c>
    </row>
    <row r="68" spans="2:9">
      <c r="B68" s="197" t="s">
        <v>226</v>
      </c>
      <c r="C68" s="239">
        <v>5</v>
      </c>
      <c r="D68" s="200"/>
      <c r="E68" s="240"/>
      <c r="F68" s="241"/>
      <c r="G68" s="241"/>
      <c r="H68" s="200"/>
      <c r="I68" s="239">
        <v>0</v>
      </c>
    </row>
    <row r="69" spans="2:9">
      <c r="B69" s="198"/>
      <c r="C69" s="242">
        <f>SUM(C63:C68)</f>
        <v>5</v>
      </c>
      <c r="D69" s="200"/>
      <c r="E69" s="240">
        <f>C69-I69</f>
        <v>-3966</v>
      </c>
      <c r="F69" s="241">
        <f>IFERROR(E69/I69,0)</f>
        <v>-0.99874087131704858</v>
      </c>
      <c r="G69" s="241">
        <f>IFERROR(C69/$C$12,0)</f>
        <v>3.5243532811729045E-4</v>
      </c>
      <c r="H69" s="200"/>
      <c r="I69" s="242">
        <f>SUM(I63:I68)</f>
        <v>3971</v>
      </c>
    </row>
    <row r="71" spans="2:9">
      <c r="B71" s="197" t="s">
        <v>144</v>
      </c>
      <c r="C71" s="239" t="e">
        <f>#REF!</f>
        <v>#REF!</v>
      </c>
      <c r="I71" s="239" t="e">
        <f>#REF!</f>
        <v>#REF!</v>
      </c>
    </row>
    <row r="72" spans="2:9">
      <c r="B72" s="197" t="s">
        <v>165</v>
      </c>
      <c r="C72" s="239" t="e">
        <f>#REF!</f>
        <v>#REF!</v>
      </c>
      <c r="I72" s="239" t="e">
        <f>#REF!</f>
        <v>#REF!</v>
      </c>
    </row>
    <row r="74" spans="2:9">
      <c r="B74" t="s">
        <v>125</v>
      </c>
      <c r="C74" s="247" t="e">
        <f>C69-C71-C72</f>
        <v>#REF!</v>
      </c>
      <c r="I74" s="247" t="e">
        <f>I69-I71-I72</f>
        <v>#REF!</v>
      </c>
    </row>
    <row r="76" spans="2:9">
      <c r="B76" s="232" t="s">
        <v>999</v>
      </c>
      <c r="C76" s="233"/>
      <c r="D76" s="233"/>
      <c r="E76" s="233"/>
      <c r="F76" s="233"/>
      <c r="G76" s="233"/>
      <c r="H76" s="233"/>
      <c r="I76" s="233"/>
    </row>
    <row r="78" spans="2:9">
      <c r="B78" s="234" t="s">
        <v>320</v>
      </c>
      <c r="C78" s="234"/>
      <c r="D78" s="234"/>
      <c r="E78" s="234"/>
      <c r="F78" s="234"/>
      <c r="G78" s="234"/>
      <c r="H78" s="234"/>
      <c r="I78" s="234"/>
    </row>
    <row r="79" spans="2:9">
      <c r="B79" s="198"/>
      <c r="C79" s="198"/>
      <c r="D79" s="198"/>
      <c r="E79" s="198"/>
      <c r="F79" s="198"/>
      <c r="G79" s="198"/>
      <c r="H79" s="198"/>
      <c r="I79" s="198"/>
    </row>
    <row r="80" spans="2:9">
      <c r="B80" s="198"/>
      <c r="C80" s="231">
        <f>$C$2</f>
        <v>41455</v>
      </c>
      <c r="D80" s="237"/>
      <c r="E80" s="238" t="s">
        <v>979</v>
      </c>
      <c r="F80" s="238" t="s">
        <v>980</v>
      </c>
      <c r="G80" s="238" t="s">
        <v>981</v>
      </c>
      <c r="H80" s="237"/>
      <c r="I80" s="231">
        <f>$I$2</f>
        <v>41274</v>
      </c>
    </row>
    <row r="81" spans="2:12">
      <c r="B81" s="197"/>
      <c r="C81" s="239"/>
      <c r="D81" s="200"/>
      <c r="E81" s="240"/>
      <c r="F81" s="241"/>
      <c r="G81" s="241"/>
      <c r="H81" s="200"/>
      <c r="I81" s="239"/>
    </row>
    <row r="82" spans="2:12">
      <c r="B82" s="197" t="s">
        <v>318</v>
      </c>
      <c r="C82" s="239">
        <f>-ROUND(SUMIFS(Base!J:J,Base!O:O,'Notas explicativas'!$B$78,Base!P:P,B82)/1000,0)</f>
        <v>2577</v>
      </c>
      <c r="D82" s="200"/>
      <c r="E82" s="240">
        <f t="shared" ref="E82:E88" si="3">C82-I82</f>
        <v>990</v>
      </c>
      <c r="F82" s="241">
        <f t="shared" ref="F82:F88" si="4">IFERROR(E82/I82,0)</f>
        <v>0.62381852551984873</v>
      </c>
      <c r="G82" s="241">
        <f t="shared" ref="G82:G88" si="5">IFERROR(C82/$C$88,0)</f>
        <v>0.2518323072412782</v>
      </c>
      <c r="H82" s="200"/>
      <c r="I82" s="239">
        <f>-ROUND(SUMIFS(Base!F:F,Base!O:O,'Notas explicativas'!$B$78,Base!P:P,B82)/1000,0)</f>
        <v>1587</v>
      </c>
    </row>
    <row r="83" spans="2:12">
      <c r="B83" s="197" t="s">
        <v>483</v>
      </c>
      <c r="C83" s="239">
        <f>-ROUND(SUMIFS(Base!J:J,Base!O:O,'Notas explicativas'!$B$78,Base!P:P,B83)/1000,0)</f>
        <v>0</v>
      </c>
      <c r="D83" s="200"/>
      <c r="E83" s="240">
        <f t="shared" si="3"/>
        <v>-24</v>
      </c>
      <c r="F83" s="241">
        <f t="shared" si="4"/>
        <v>-1</v>
      </c>
      <c r="G83" s="241">
        <f t="shared" si="5"/>
        <v>0</v>
      </c>
      <c r="H83" s="200"/>
      <c r="I83" s="239">
        <f>-ROUND(SUMIFS(Base!F:F,Base!O:O,'Notas explicativas'!$B$78,Base!P:P,B83)/1000,0)</f>
        <v>24</v>
      </c>
    </row>
    <row r="84" spans="2:12">
      <c r="B84" s="197" t="s">
        <v>340</v>
      </c>
      <c r="C84" s="239">
        <f>-ROUND(SUMIFS(Base!J:J,Base!O:O,'Notas explicativas'!$B$78,Base!P:P,B84)/1000,0)</f>
        <v>0</v>
      </c>
      <c r="D84" s="200"/>
      <c r="E84" s="240">
        <f t="shared" si="3"/>
        <v>-3</v>
      </c>
      <c r="F84" s="241">
        <f t="shared" si="4"/>
        <v>-1</v>
      </c>
      <c r="G84" s="241">
        <f t="shared" si="5"/>
        <v>0</v>
      </c>
      <c r="H84" s="200"/>
      <c r="I84" s="239">
        <f>-ROUND(SUMIFS(Base!F:F,Base!O:O,'Notas explicativas'!$B$78,Base!P:P,B84)/1000,0)</f>
        <v>3</v>
      </c>
    </row>
    <row r="85" spans="2:12">
      <c r="B85" s="197" t="s">
        <v>364</v>
      </c>
      <c r="C85" s="239">
        <f>-ROUND(SUMIFS(Base!J:J,Base!O:O,'Notas explicativas'!$B$78,Base!P:P,B85)/1000,0)</f>
        <v>0</v>
      </c>
      <c r="D85" s="200"/>
      <c r="E85" s="240">
        <f t="shared" si="3"/>
        <v>0</v>
      </c>
      <c r="F85" s="241">
        <f t="shared" si="4"/>
        <v>0</v>
      </c>
      <c r="G85" s="241">
        <f t="shared" si="5"/>
        <v>0</v>
      </c>
      <c r="H85" s="200"/>
      <c r="I85" s="239">
        <f>-ROUND(SUMIFS(Base!F:F,Base!O:O,'Notas explicativas'!$B$78,Base!P:P,B85)/1000,0)</f>
        <v>0</v>
      </c>
    </row>
    <row r="86" spans="2:12">
      <c r="B86" s="197" t="s">
        <v>374</v>
      </c>
      <c r="C86" s="239">
        <f>-ROUND(SUMIFS(Base!J:J,Base!O:O,'Notas explicativas'!$B$78,Base!P:P,B86)/1000,0)</f>
        <v>0</v>
      </c>
      <c r="D86" s="200"/>
      <c r="E86" s="240">
        <f t="shared" si="3"/>
        <v>0</v>
      </c>
      <c r="F86" s="241">
        <f t="shared" si="4"/>
        <v>0</v>
      </c>
      <c r="G86" s="241">
        <f t="shared" si="5"/>
        <v>0</v>
      </c>
      <c r="H86" s="200"/>
      <c r="I86" s="239">
        <f>-ROUND(SUMIFS(Base!F:F,Base!O:O,'Notas explicativas'!$B$78,Base!P:P,B86)/1000,0)</f>
        <v>0</v>
      </c>
    </row>
    <row r="87" spans="2:12">
      <c r="B87" s="197" t="s">
        <v>317</v>
      </c>
      <c r="C87" s="239">
        <f>-ROUND(SUMIFS(Base!J:J,Base!O:O,'Notas explicativas'!$B$78,Base!P:P,B87)/1000,0)-1</f>
        <v>7656</v>
      </c>
      <c r="D87" s="200"/>
      <c r="E87" s="240">
        <f t="shared" si="3"/>
        <v>-17174</v>
      </c>
      <c r="F87" s="241">
        <f t="shared" si="4"/>
        <v>-0.691663310511478</v>
      </c>
      <c r="G87" s="241">
        <f t="shared" si="5"/>
        <v>0.74816769275872175</v>
      </c>
      <c r="H87" s="200"/>
      <c r="I87" s="239">
        <f>-ROUND(SUMIFS(Base!F:F,Base!O:O,'Notas explicativas'!$B$78,Base!P:P,B87)/1000,0)</f>
        <v>24830</v>
      </c>
    </row>
    <row r="88" spans="2:12">
      <c r="B88" s="198"/>
      <c r="C88" s="242">
        <f>SUM(C81:C87)</f>
        <v>10233</v>
      </c>
      <c r="D88" s="200"/>
      <c r="E88" s="240">
        <f t="shared" si="3"/>
        <v>-16211</v>
      </c>
      <c r="F88" s="241">
        <f t="shared" si="4"/>
        <v>-0.61303131145061263</v>
      </c>
      <c r="G88" s="241">
        <f t="shared" si="5"/>
        <v>1</v>
      </c>
      <c r="H88" s="200"/>
      <c r="I88" s="242">
        <f>SUM(I81:I87)</f>
        <v>26444</v>
      </c>
    </row>
    <row r="89" spans="2:12">
      <c r="B89" s="198" t="s">
        <v>125</v>
      </c>
      <c r="C89" s="239" t="e">
        <f>VLOOKUP(B78,#REF!,4,0)-C88</f>
        <v>#REF!</v>
      </c>
      <c r="I89" s="239" t="e">
        <f>VLOOKUP(B78,#REF!,6,0)-I88</f>
        <v>#REF!</v>
      </c>
    </row>
    <row r="91" spans="2:12">
      <c r="B91" s="234" t="s">
        <v>665</v>
      </c>
      <c r="C91" s="234"/>
      <c r="D91" s="234"/>
      <c r="E91" s="234"/>
      <c r="F91" s="234"/>
      <c r="G91" s="234"/>
      <c r="H91" s="234"/>
      <c r="I91" s="234"/>
    </row>
    <row r="92" spans="2:12">
      <c r="B92" s="198" t="s">
        <v>731</v>
      </c>
      <c r="C92" s="198"/>
      <c r="D92" s="198"/>
      <c r="E92" s="198"/>
      <c r="F92" s="198"/>
      <c r="G92" s="198"/>
      <c r="H92" s="198"/>
      <c r="I92" s="198"/>
    </row>
    <row r="93" spans="2:12">
      <c r="B93" s="198"/>
      <c r="C93" s="231">
        <f>$C$2</f>
        <v>41455</v>
      </c>
      <c r="D93" s="237"/>
      <c r="E93" s="238" t="s">
        <v>979</v>
      </c>
      <c r="F93" s="238" t="s">
        <v>980</v>
      </c>
      <c r="G93" s="238" t="s">
        <v>981</v>
      </c>
      <c r="H93" s="237"/>
      <c r="I93" s="231">
        <f>$I$2</f>
        <v>41274</v>
      </c>
      <c r="K93" s="249" t="s">
        <v>1000</v>
      </c>
      <c r="L93" s="249" t="s">
        <v>640</v>
      </c>
    </row>
    <row r="94" spans="2:12">
      <c r="B94" s="197"/>
      <c r="C94" s="239"/>
      <c r="D94" s="200"/>
      <c r="E94" s="240"/>
      <c r="F94" s="241"/>
      <c r="G94" s="241"/>
      <c r="H94" s="200"/>
      <c r="I94" s="239"/>
    </row>
    <row r="95" spans="2:12">
      <c r="B95" s="197" t="s">
        <v>639</v>
      </c>
      <c r="C95" s="239">
        <f>-ROUND(SUMIFS(Base!J:J,Base!O:O,'Notas explicativas'!$B$91,Base!P:P,B95)/1000,0)-ROUND(SUMIFS(Base!J:J,Base!O:O,'Notas explicativas'!$B$92,Base!P:P,B95)/1000,0)</f>
        <v>0</v>
      </c>
      <c r="D95" s="200"/>
      <c r="E95" s="240">
        <f t="shared" ref="E95:E100" si="6">C95-I95</f>
        <v>0</v>
      </c>
      <c r="F95" s="241">
        <f t="shared" ref="F95:F100" si="7">IFERROR(E95/I95,0)</f>
        <v>0</v>
      </c>
      <c r="G95" s="241">
        <f t="shared" ref="G95:G100" si="8">IFERROR(C95/$C$88,0)</f>
        <v>0</v>
      </c>
      <c r="H95" s="200"/>
      <c r="I95" s="239">
        <f>-ROUND(SUMIFS(Base!F:F,Base!O:O,'Notas explicativas'!$B$91,Base!P:P,B95)/1000,0)-ROUND(SUMIFS(Base!F:F,Base!O:O,'Notas explicativas'!$B$92,Base!P:P,B95)/1000,0)</f>
        <v>0</v>
      </c>
      <c r="K95" s="197" t="s">
        <v>1001</v>
      </c>
      <c r="L95" s="246" t="s">
        <v>1002</v>
      </c>
    </row>
    <row r="96" spans="2:12">
      <c r="B96" s="197" t="s">
        <v>646</v>
      </c>
      <c r="C96" s="239">
        <f>-ROUND(SUMIFS(Base!J:J,Base!O:O,'Notas explicativas'!$B$91,Base!P:P,B96)/1000,0)-ROUND(SUMIFS(Base!J:J,Base!O:O,'Notas explicativas'!$B$92,Base!P:P,B96)/1000,0)</f>
        <v>0</v>
      </c>
      <c r="D96" s="200"/>
      <c r="E96" s="240">
        <f t="shared" si="6"/>
        <v>0</v>
      </c>
      <c r="F96" s="241">
        <f t="shared" si="7"/>
        <v>0</v>
      </c>
      <c r="G96" s="241">
        <f t="shared" si="8"/>
        <v>0</v>
      </c>
      <c r="H96" s="200"/>
      <c r="I96" s="239">
        <f>-ROUND(SUMIFS(Base!F:F,Base!O:O,'Notas explicativas'!$B$91,Base!P:P,B96)/1000,0)-ROUND(SUMIFS(Base!F:F,Base!O:O,'Notas explicativas'!$B$92,Base!P:P,B96)/1000,0)</f>
        <v>0</v>
      </c>
      <c r="K96" s="197" t="s">
        <v>1003</v>
      </c>
      <c r="L96" s="246" t="s">
        <v>1004</v>
      </c>
    </row>
    <row r="97" spans="2:12">
      <c r="B97" s="197" t="s">
        <v>642</v>
      </c>
      <c r="C97" s="239">
        <f>-ROUND(SUMIFS(Base!J:J,Base!O:O,'Notas explicativas'!$B$91,Base!P:P,B97)/1000,0)-ROUND(SUMIFS(Base!J:J,Base!O:O,'Notas explicativas'!$B$92,Base!P:P,B97)/1000,0)</f>
        <v>16352</v>
      </c>
      <c r="D97" s="200"/>
      <c r="E97" s="240">
        <f t="shared" si="6"/>
        <v>0</v>
      </c>
      <c r="F97" s="241">
        <f t="shared" si="7"/>
        <v>0</v>
      </c>
      <c r="G97" s="241">
        <f t="shared" si="8"/>
        <v>1.5979673605003419</v>
      </c>
      <c r="H97" s="200"/>
      <c r="I97" s="239">
        <f>-ROUND(SUMIFS(Base!F:F,Base!O:O,'Notas explicativas'!$B$91,Base!P:P,B97)/1000,0)-ROUND(SUMIFS(Base!F:F,Base!O:O,'Notas explicativas'!$B$92,Base!P:P,B97)/1000,0)</f>
        <v>16352</v>
      </c>
      <c r="K97" s="197" t="s">
        <v>1003</v>
      </c>
      <c r="L97" s="246" t="s">
        <v>1005</v>
      </c>
    </row>
    <row r="98" spans="2:12">
      <c r="B98" s="197" t="s">
        <v>644</v>
      </c>
      <c r="C98" s="239">
        <f>-ROUND(SUMIFS(Base!J:J,Base!O:O,'Notas explicativas'!$B$91,Base!P:P,B98)/1000,0)-ROUND(SUMIFS(Base!J:J,Base!O:O,'Notas explicativas'!$B$92,Base!P:P,B98)/1000,0)</f>
        <v>17434</v>
      </c>
      <c r="D98" s="200"/>
      <c r="E98" s="240">
        <f t="shared" si="6"/>
        <v>17434</v>
      </c>
      <c r="F98" s="241">
        <f t="shared" si="7"/>
        <v>0</v>
      </c>
      <c r="G98" s="241">
        <f t="shared" si="8"/>
        <v>1.7037037037037037</v>
      </c>
      <c r="H98" s="200"/>
      <c r="I98" s="239">
        <f>-ROUND(SUMIFS(Base!F:F,Base!O:O,'Notas explicativas'!$B$91,Base!P:P,B98)/1000,0)-ROUND(SUMIFS(Base!F:F,Base!O:O,'Notas explicativas'!$B$92,Base!P:P,B98)/1000,0)</f>
        <v>0</v>
      </c>
      <c r="K98" s="197" t="s">
        <v>1003</v>
      </c>
      <c r="L98" s="246" t="s">
        <v>1006</v>
      </c>
    </row>
    <row r="99" spans="2:12">
      <c r="B99" s="197" t="s">
        <v>648</v>
      </c>
      <c r="C99" s="239">
        <f>-ROUND(SUMIFS(Base!J:J,Base!O:O,'Notas explicativas'!$B$91,Base!P:P,B99)/1000,0)-ROUND(SUMIFS(Base!J:J,Base!O:O,'Notas explicativas'!$B$92,Base!P:P,B99)/1000,0)</f>
        <v>6000</v>
      </c>
      <c r="D99" s="200"/>
      <c r="E99" s="240">
        <f t="shared" si="6"/>
        <v>6000</v>
      </c>
      <c r="F99" s="241">
        <f t="shared" si="7"/>
        <v>0</v>
      </c>
      <c r="G99" s="241">
        <f t="shared" si="8"/>
        <v>0.58633831720902962</v>
      </c>
      <c r="H99" s="200"/>
      <c r="I99" s="239">
        <f>-ROUND(SUMIFS(Base!F:F,Base!O:O,'Notas explicativas'!$B$91,Base!P:P,B99)/1000,0)-ROUND(SUMIFS(Base!F:F,Base!O:O,'Notas explicativas'!$B$92,Base!P:P,B99)/1000,0)</f>
        <v>0</v>
      </c>
      <c r="K99" s="197"/>
      <c r="L99" s="246"/>
    </row>
    <row r="100" spans="2:12">
      <c r="B100" s="198"/>
      <c r="C100" s="242">
        <f>SUM(C94:C99)</f>
        <v>39786</v>
      </c>
      <c r="D100" s="200"/>
      <c r="E100" s="240">
        <f t="shared" si="6"/>
        <v>23434</v>
      </c>
      <c r="F100" s="241">
        <f t="shared" si="7"/>
        <v>1.43309686888454</v>
      </c>
      <c r="G100" s="241">
        <f t="shared" si="8"/>
        <v>3.8880093814130752</v>
      </c>
      <c r="H100" s="200"/>
      <c r="I100" s="242">
        <f>SUM(I94:I99)</f>
        <v>16352</v>
      </c>
    </row>
    <row r="101" spans="2:12">
      <c r="B101" s="198"/>
      <c r="C101" s="239"/>
      <c r="I101" s="239"/>
    </row>
    <row r="102" spans="2:12">
      <c r="B102" s="198" t="s">
        <v>674</v>
      </c>
      <c r="C102" s="239">
        <f>-ROUND(SUMIFS(Base!J:J,Base!O:O,'Notas explicativas'!$B$91,Base!Q:Q,B102)/1000,0)-ROUND(SUMIFS(Base!J:J,Base!O:O,'Notas explicativas'!$B$92,Base!Q:Q,B102)/1000,0)</f>
        <v>39786</v>
      </c>
      <c r="E102" s="240">
        <f>C102-I102</f>
        <v>23434</v>
      </c>
      <c r="F102" s="241">
        <f>IFERROR(E102/I102,0)</f>
        <v>1.43309686888454</v>
      </c>
      <c r="G102" s="241">
        <f>IFERROR(C102/$C$88,0)</f>
        <v>3.8880093814130752</v>
      </c>
      <c r="I102" s="239">
        <f>-ROUND(SUMIFS(Base!F:F,Base!O:O,'Notas explicativas'!$B$91,Base!Q:Q,B102)/1000,0)-ROUND(SUMIFS(Base!F:F,Base!O:O,'Notas explicativas'!$B$92,Base!Q:Q,B102)/1000,0)</f>
        <v>16352</v>
      </c>
    </row>
    <row r="103" spans="2:12">
      <c r="B103" s="198" t="s">
        <v>640</v>
      </c>
      <c r="C103" s="239">
        <f>-ROUND(SUMIFS(Base!J:J,Base!O:O,'Notas explicativas'!$B$91,Base!Q:Q,B103)/1000,0)-ROUND(SUMIFS(Base!J:J,Base!O:O,'Notas explicativas'!$B$92,Base!Q:Q,B103)/1000,0)-1</f>
        <v>-1</v>
      </c>
      <c r="E103" s="240">
        <f>C103-I103</f>
        <v>-1</v>
      </c>
      <c r="F103" s="241">
        <f>IFERROR(E103/I103,0)</f>
        <v>0</v>
      </c>
      <c r="G103" s="241">
        <f>IFERROR(C103/$C$88,0)</f>
        <v>-9.7723052868171605E-5</v>
      </c>
      <c r="I103" s="239">
        <f>-ROUND(SUMIFS(Base!F:F,Base!O:O,'Notas explicativas'!$B$91,Base!Q:Q,B103)/1000,0)-ROUND(SUMIFS(Base!F:F,Base!O:O,'Notas explicativas'!$B$92,Base!Q:Q,B103)/1000,0)</f>
        <v>0</v>
      </c>
    </row>
    <row r="104" spans="2:12">
      <c r="B104" s="198"/>
      <c r="C104" s="242">
        <f>SUM(C102:C103)</f>
        <v>39785</v>
      </c>
      <c r="E104" s="240">
        <f>C104-I104</f>
        <v>23433</v>
      </c>
      <c r="F104" s="241">
        <f>IFERROR(E104/I104,0)</f>
        <v>1.4330357142857142</v>
      </c>
      <c r="G104" s="241">
        <f>IFERROR(C104/$C$88,0)</f>
        <v>3.8879116583602071</v>
      </c>
      <c r="I104" s="242">
        <f>SUM(I102:I103)</f>
        <v>16352</v>
      </c>
    </row>
    <row r="105" spans="2:12">
      <c r="B105" s="198"/>
      <c r="C105" s="239"/>
      <c r="I105" s="239"/>
    </row>
    <row r="106" spans="2:12">
      <c r="B106" s="197" t="s">
        <v>144</v>
      </c>
      <c r="C106" s="239" t="e">
        <f>#REF!</f>
        <v>#REF!</v>
      </c>
      <c r="I106" s="239" t="e">
        <f>#REF!</f>
        <v>#REF!</v>
      </c>
    </row>
    <row r="107" spans="2:12">
      <c r="B107" s="197" t="s">
        <v>165</v>
      </c>
      <c r="C107" s="239" t="e">
        <f>#REF!</f>
        <v>#REF!</v>
      </c>
      <c r="I107" s="239" t="e">
        <f>#REF!</f>
        <v>#REF!</v>
      </c>
    </row>
    <row r="109" spans="2:12">
      <c r="B109" t="s">
        <v>125</v>
      </c>
      <c r="C109" s="247" t="e">
        <f>C104-C107-C106</f>
        <v>#REF!</v>
      </c>
      <c r="I109" s="247" t="e">
        <f>I104-I107-I106</f>
        <v>#REF!</v>
      </c>
    </row>
    <row r="111" spans="2:12">
      <c r="B111" s="234" t="s">
        <v>673</v>
      </c>
      <c r="C111" s="234"/>
      <c r="D111" s="234"/>
      <c r="E111" s="234"/>
      <c r="F111" s="234"/>
      <c r="G111" s="234"/>
      <c r="H111" s="234"/>
      <c r="I111" s="234"/>
    </row>
    <row r="112" spans="2:12">
      <c r="B112" s="198" t="s">
        <v>727</v>
      </c>
      <c r="C112" s="198"/>
      <c r="D112" s="198"/>
      <c r="E112" s="198"/>
      <c r="F112" s="198"/>
      <c r="G112" s="198"/>
      <c r="H112" s="198"/>
      <c r="I112" s="198"/>
    </row>
    <row r="113" spans="2:9">
      <c r="B113" s="198"/>
      <c r="C113" s="231">
        <f>$C$2</f>
        <v>41455</v>
      </c>
      <c r="D113" s="237"/>
      <c r="E113" s="238" t="s">
        <v>979</v>
      </c>
      <c r="F113" s="238" t="s">
        <v>980</v>
      </c>
      <c r="G113" s="238" t="s">
        <v>981</v>
      </c>
      <c r="H113" s="237"/>
      <c r="I113" s="231">
        <f>$I$2</f>
        <v>41274</v>
      </c>
    </row>
    <row r="114" spans="2:9">
      <c r="B114" s="197"/>
      <c r="C114" s="239"/>
      <c r="D114" s="200"/>
      <c r="E114" s="240"/>
      <c r="F114" s="241"/>
      <c r="G114" s="241"/>
      <c r="H114" s="200"/>
      <c r="I114" s="239"/>
    </row>
    <row r="115" spans="2:9">
      <c r="B115" s="197" t="s">
        <v>654</v>
      </c>
      <c r="C115" s="239">
        <f>-ROUND(SUMIFS(Base!J:J,Base!O:O,'Notas explicativas'!$B$111,Base!P:P,B115)/1000,0)-ROUND(SUMIFS(Base!J:J,Base!O:O,'Notas explicativas'!$B$112,Base!P:P,B115)/1000,0)</f>
        <v>0</v>
      </c>
      <c r="D115" s="200"/>
      <c r="E115" s="240">
        <f t="shared" ref="E115:E125" si="9">C115-I115</f>
        <v>-37</v>
      </c>
      <c r="F115" s="241">
        <f t="shared" ref="F115:F125" si="10">IFERROR(E115/I115,0)</f>
        <v>-1</v>
      </c>
      <c r="G115" s="241">
        <f t="shared" ref="G115:G125" si="11">IFERROR(C115/$C$88,0)</f>
        <v>0</v>
      </c>
      <c r="H115" s="200"/>
      <c r="I115" s="239">
        <f>-ROUND(SUMIFS(Base!F:F,Base!O:O,'Notas explicativas'!$B$111,Base!P:P,B115)/1000,0)-ROUND(SUMIFS(Base!F:F,Base!O:O,'Notas explicativas'!$B$112,Base!P:P,B115)/1000,0)+37</f>
        <v>37</v>
      </c>
    </row>
    <row r="116" spans="2:9">
      <c r="B116" s="197" t="s">
        <v>239</v>
      </c>
      <c r="C116" s="239">
        <f>-ROUND(SUMIFS(Base!J:J,Base!O:O,'Notas explicativas'!$B$111,Base!P:P,B116)/1000,0)-ROUND(SUMIFS(Base!J:J,Base!O:O,'Notas explicativas'!$B$112,Base!P:P,B116)/1000,0)</f>
        <v>0</v>
      </c>
      <c r="D116" s="200"/>
      <c r="E116" s="240">
        <f t="shared" si="9"/>
        <v>0</v>
      </c>
      <c r="F116" s="241">
        <f t="shared" si="10"/>
        <v>0</v>
      </c>
      <c r="G116" s="241">
        <f t="shared" si="11"/>
        <v>0</v>
      </c>
      <c r="H116" s="200"/>
      <c r="I116" s="239">
        <f>-ROUND(SUMIFS(Base!F:F,Base!O:O,'Notas explicativas'!$B$111,Base!P:P,B116)/1000,0)-ROUND(SUMIFS(Base!F:F,Base!O:O,'Notas explicativas'!$B$112,Base!P:P,B116)/1000,0)</f>
        <v>0</v>
      </c>
    </row>
    <row r="117" spans="2:9">
      <c r="B117" s="197" t="s">
        <v>997</v>
      </c>
      <c r="C117" s="239">
        <f>-ROUND(SUMIFS(Base!J:J,Base!O:O,'Notas explicativas'!$B$111,Base!P:P,B117)/1000,0)-ROUND(SUMIFS(Base!J:J,Base!O:O,'Notas explicativas'!$B$112,Base!P:P,B117)/1000,0)</f>
        <v>0</v>
      </c>
      <c r="D117" s="200"/>
      <c r="E117" s="240">
        <f t="shared" si="9"/>
        <v>0</v>
      </c>
      <c r="F117" s="241">
        <f t="shared" si="10"/>
        <v>0</v>
      </c>
      <c r="G117" s="241">
        <f t="shared" si="11"/>
        <v>0</v>
      </c>
      <c r="H117" s="200"/>
      <c r="I117" s="239">
        <f>-ROUND(SUMIFS(Base!F:F,Base!O:O,'Notas explicativas'!$B$111,Base!P:P,B117)/1000,0)-ROUND(SUMIFS(Base!F:F,Base!O:O,'Notas explicativas'!$B$112,Base!P:P,B117)/1000,0)</f>
        <v>0</v>
      </c>
    </row>
    <row r="118" spans="2:9">
      <c r="B118" s="197" t="s">
        <v>998</v>
      </c>
      <c r="C118" s="239">
        <f>-ROUND(SUMIFS(Base!J:J,Base!O:O,'Notas explicativas'!$B$111,Base!P:P,B118)/1000,0)-ROUND(SUMIFS(Base!J:J,Base!O:O,'Notas explicativas'!$B$112,Base!P:P,B118)/1000,0)</f>
        <v>0</v>
      </c>
      <c r="D118" s="200"/>
      <c r="E118" s="240">
        <f t="shared" si="9"/>
        <v>0</v>
      </c>
      <c r="F118" s="241">
        <f t="shared" si="10"/>
        <v>0</v>
      </c>
      <c r="G118" s="241">
        <f t="shared" si="11"/>
        <v>0</v>
      </c>
      <c r="H118" s="200"/>
      <c r="I118" s="239">
        <f>-ROUND(SUMIFS(Base!F:F,Base!O:O,'Notas explicativas'!$B$111,Base!P:P,B118)/1000,0)-ROUND(SUMIFS(Base!F:F,Base!O:O,'Notas explicativas'!$B$112,Base!P:P,B118)/1000,0)</f>
        <v>0</v>
      </c>
    </row>
    <row r="119" spans="2:9">
      <c r="B119" s="197" t="s">
        <v>662</v>
      </c>
      <c r="C119" s="239">
        <f>-ROUND(SUMIFS(Base!J:J,Base!O:O,'Notas explicativas'!$B$111,Base!P:P,B119)/1000,0)-ROUND(SUMIFS(Base!J:J,Base!O:O,'Notas explicativas'!$B$112,Base!P:P,B119)/1000,0)</f>
        <v>0</v>
      </c>
      <c r="D119" s="200"/>
      <c r="E119" s="240">
        <f t="shared" si="9"/>
        <v>0</v>
      </c>
      <c r="F119" s="241">
        <f t="shared" si="10"/>
        <v>0</v>
      </c>
      <c r="G119" s="241">
        <f t="shared" si="11"/>
        <v>0</v>
      </c>
      <c r="H119" s="200"/>
      <c r="I119" s="239">
        <f>-ROUND(SUMIFS(Base!F:F,Base!O:O,'Notas explicativas'!$B$111,Base!P:P,B119)/1000,0)-ROUND(SUMIFS(Base!F:F,Base!O:O,'Notas explicativas'!$B$112,Base!P:P,B119)/1000,0)</f>
        <v>0</v>
      </c>
    </row>
    <row r="120" spans="2:9">
      <c r="B120" s="197" t="s">
        <v>82</v>
      </c>
      <c r="C120" s="239">
        <f>-ROUND(SUMIFS(Base!J:J,Base!O:O,'Notas explicativas'!$B$111,Base!P:P,B120)/1000,0)-ROUND(SUMIFS(Base!J:J,Base!O:O,'Notas explicativas'!$B$112,Base!P:P,B120)/1000,0)</f>
        <v>0</v>
      </c>
      <c r="D120" s="200"/>
      <c r="E120" s="240">
        <f t="shared" si="9"/>
        <v>0</v>
      </c>
      <c r="F120" s="241">
        <f t="shared" si="10"/>
        <v>0</v>
      </c>
      <c r="G120" s="241">
        <f t="shared" si="11"/>
        <v>0</v>
      </c>
      <c r="H120" s="200"/>
      <c r="I120" s="239">
        <f>-ROUND(SUMIFS(Base!F:F,Base!O:O,'Notas explicativas'!$B$111,Base!P:P,B120)/1000,0)-ROUND(SUMIFS(Base!F:F,Base!O:O,'Notas explicativas'!$B$112,Base!P:P,B120)/1000,0)</f>
        <v>0</v>
      </c>
    </row>
    <row r="121" spans="2:9">
      <c r="B121" s="197" t="s">
        <v>666</v>
      </c>
      <c r="C121" s="239">
        <f>-ROUND(SUMIFS(Base!J:J,Base!O:O,'Notas explicativas'!$B$111,Base!P:P,B121)/1000,0)-ROUND(SUMIFS(Base!J:J,Base!O:O,'Notas explicativas'!$B$112,Base!P:P,B121)/1000,0)</f>
        <v>0</v>
      </c>
      <c r="D121" s="200"/>
      <c r="E121" s="240">
        <f t="shared" si="9"/>
        <v>0</v>
      </c>
      <c r="F121" s="241">
        <f t="shared" si="10"/>
        <v>0</v>
      </c>
      <c r="G121" s="241">
        <f t="shared" si="11"/>
        <v>0</v>
      </c>
      <c r="H121" s="200"/>
      <c r="I121" s="239">
        <f>-ROUND(SUMIFS(Base!F:F,Base!O:O,'Notas explicativas'!$B$111,Base!P:P,B121)/1000,0)-ROUND(SUMIFS(Base!F:F,Base!O:O,'Notas explicativas'!$B$112,Base!P:P,B121)/1000,0)</f>
        <v>0</v>
      </c>
    </row>
    <row r="122" spans="2:9">
      <c r="B122" s="197" t="s">
        <v>652</v>
      </c>
      <c r="C122" s="239">
        <f>-ROUND(SUMIFS(Base!J:J,Base!O:O,'Notas explicativas'!$B$111,Base!P:P,B122)/1000,0)-ROUND(SUMIFS(Base!J:J,Base!O:O,'Notas explicativas'!$B$112,Base!P:P,B122)/1000,0)</f>
        <v>0</v>
      </c>
      <c r="D122" s="200"/>
      <c r="E122" s="240">
        <f t="shared" si="9"/>
        <v>0</v>
      </c>
      <c r="F122" s="241">
        <f t="shared" si="10"/>
        <v>0</v>
      </c>
      <c r="G122" s="241">
        <f t="shared" si="11"/>
        <v>0</v>
      </c>
      <c r="H122" s="200"/>
      <c r="I122" s="239">
        <f>-ROUND(SUMIFS(Base!F:F,Base!O:O,'Notas explicativas'!$B$111,Base!P:P,B122)/1000,0)-ROUND(SUMIFS(Base!F:F,Base!O:O,'Notas explicativas'!$B$112,Base!P:P,B122)/1000,0)</f>
        <v>0</v>
      </c>
    </row>
    <row r="123" spans="2:9">
      <c r="B123" s="197" t="s">
        <v>668</v>
      </c>
      <c r="C123" s="239">
        <f>-ROUND(SUMIFS(Base!J:J,Base!O:O,'Notas explicativas'!$B$111,Base!P:P,B123)/1000,0)-ROUND(SUMIFS(Base!J:J,Base!O:O,'Notas explicativas'!$B$112,Base!P:P,B123)/1000,0)</f>
        <v>0</v>
      </c>
      <c r="D123" s="200"/>
      <c r="E123" s="240">
        <f t="shared" si="9"/>
        <v>0</v>
      </c>
      <c r="F123" s="241">
        <f t="shared" si="10"/>
        <v>0</v>
      </c>
      <c r="G123" s="241">
        <f t="shared" si="11"/>
        <v>0</v>
      </c>
      <c r="H123" s="200"/>
      <c r="I123" s="239">
        <f>-ROUND(SUMIFS(Base!F:F,Base!O:O,'Notas explicativas'!$B$111,Base!P:P,B123)/1000,0)-ROUND(SUMIFS(Base!F:F,Base!O:O,'Notas explicativas'!$B$112,Base!P:P,B123)/1000,0)</f>
        <v>0</v>
      </c>
    </row>
    <row r="124" spans="2:9">
      <c r="B124" s="197" t="s">
        <v>226</v>
      </c>
      <c r="C124" s="239">
        <f>-ROUND(SUMIFS(Base!J:J,Base!O:O,'Notas explicativas'!$B$111,Base!P:P,B124)/1000,0)-ROUND(SUMIFS(Base!J:J,Base!O:O,'Notas explicativas'!$B$112,Base!P:P,B124)/1000,0)+1</f>
        <v>1</v>
      </c>
      <c r="D124" s="200"/>
      <c r="E124" s="240">
        <f t="shared" si="9"/>
        <v>39</v>
      </c>
      <c r="F124" s="241">
        <f t="shared" si="10"/>
        <v>-1.0263157894736843</v>
      </c>
      <c r="G124" s="241">
        <f t="shared" si="11"/>
        <v>9.7723052868171605E-5</v>
      </c>
      <c r="H124" s="200"/>
      <c r="I124" s="239">
        <f>-ROUND(SUMIFS(Base!F:F,Base!O:O,'Notas explicativas'!$B$111,Base!P:P,B124)/1000,0)-ROUND(SUMIFS(Base!F:F,Base!O:O,'Notas explicativas'!$B$112,Base!P:P,B124)/1000,0)-38</f>
        <v>-38</v>
      </c>
    </row>
    <row r="125" spans="2:9">
      <c r="B125" s="198"/>
      <c r="C125" s="242">
        <f>SUM(C114:C124)</f>
        <v>1</v>
      </c>
      <c r="D125" s="200"/>
      <c r="E125" s="240">
        <f t="shared" si="9"/>
        <v>2</v>
      </c>
      <c r="F125" s="241">
        <f t="shared" si="10"/>
        <v>-2</v>
      </c>
      <c r="G125" s="241">
        <f t="shared" si="11"/>
        <v>9.7723052868171605E-5</v>
      </c>
      <c r="H125" s="200"/>
      <c r="I125" s="242">
        <f>SUM(I114:I124)</f>
        <v>-1</v>
      </c>
    </row>
    <row r="126" spans="2:9">
      <c r="B126" s="198"/>
      <c r="C126" s="239"/>
      <c r="I126" s="239"/>
    </row>
    <row r="127" spans="2:9">
      <c r="B127" s="197" t="s">
        <v>144</v>
      </c>
      <c r="C127" s="239" t="e">
        <f>#REF!</f>
        <v>#REF!</v>
      </c>
      <c r="I127" s="239" t="e">
        <f>#REF!</f>
        <v>#REF!</v>
      </c>
    </row>
    <row r="128" spans="2:9">
      <c r="B128" s="197" t="s">
        <v>165</v>
      </c>
      <c r="C128" s="239" t="e">
        <f>#REF!</f>
        <v>#REF!</v>
      </c>
      <c r="I128" s="239" t="e">
        <f>#REF!</f>
        <v>#REF!</v>
      </c>
    </row>
    <row r="130" spans="2:9">
      <c r="B130" t="s">
        <v>125</v>
      </c>
      <c r="C130" s="247" t="e">
        <f>C125-C127-C128</f>
        <v>#REF!</v>
      </c>
      <c r="I130" s="247" t="e">
        <f>I125-I127-I128</f>
        <v>#REF!</v>
      </c>
    </row>
    <row r="133" spans="2:9">
      <c r="B133" s="232" t="s">
        <v>1007</v>
      </c>
      <c r="C133" s="233"/>
      <c r="D133" s="233"/>
      <c r="E133" s="233"/>
      <c r="F133" s="233"/>
      <c r="G133" s="233"/>
      <c r="H133" s="233"/>
      <c r="I133" s="233"/>
    </row>
    <row r="135" spans="2:9">
      <c r="B135" s="234" t="s">
        <v>725</v>
      </c>
      <c r="C135" s="234"/>
      <c r="D135" s="234"/>
      <c r="E135" s="234"/>
      <c r="F135" s="234"/>
      <c r="G135" s="234"/>
      <c r="H135" s="234"/>
      <c r="I135" s="234"/>
    </row>
    <row r="136" spans="2:9">
      <c r="B136" s="198"/>
      <c r="C136" s="198"/>
      <c r="D136" s="198"/>
      <c r="E136" s="198"/>
      <c r="F136" s="198"/>
      <c r="G136" s="198"/>
      <c r="H136" s="198"/>
      <c r="I136" s="198"/>
    </row>
    <row r="137" spans="2:9">
      <c r="B137" s="198"/>
      <c r="C137" s="231">
        <f>$C$2</f>
        <v>41455</v>
      </c>
      <c r="D137" s="237"/>
      <c r="E137" s="238" t="s">
        <v>979</v>
      </c>
      <c r="F137" s="238" t="s">
        <v>980</v>
      </c>
      <c r="G137" s="238" t="s">
        <v>981</v>
      </c>
      <c r="H137" s="237"/>
      <c r="I137" s="231">
        <f>$I$2</f>
        <v>41274</v>
      </c>
    </row>
    <row r="138" spans="2:9">
      <c r="B138" s="197" t="s">
        <v>1008</v>
      </c>
      <c r="C138" s="239"/>
      <c r="D138" s="200"/>
      <c r="E138" s="240"/>
      <c r="F138" s="241"/>
      <c r="G138" s="241"/>
      <c r="H138" s="200"/>
      <c r="I138" s="239"/>
    </row>
    <row r="139" spans="2:9">
      <c r="B139" s="197" t="s">
        <v>726</v>
      </c>
      <c r="C139" s="250">
        <f>-ROUND(SUMIFS(Base!J:J,Base!P:P,'Notas explicativas'!$B$135,Base!Q:Q,'Notas explicativas'!B139)/1000,0)</f>
        <v>10863</v>
      </c>
      <c r="D139" s="200"/>
      <c r="E139" s="240">
        <f>C139-I139</f>
        <v>1244</v>
      </c>
      <c r="F139" s="241">
        <f>IFERROR(E139/I139,0)</f>
        <v>0.12932737290778668</v>
      </c>
      <c r="G139" s="241">
        <f>IFERROR(C139/$C$88,0)</f>
        <v>1.0615655233069481</v>
      </c>
      <c r="H139" s="200"/>
      <c r="I139" s="250">
        <f>-ROUND(SUMIFS(Base!F:F,Base!P:P,'Notas explicativas'!$B$135,Base!Q:Q,'Notas explicativas'!B139)/1000,0)</f>
        <v>9619</v>
      </c>
    </row>
    <row r="140" spans="2:9">
      <c r="B140" s="251"/>
      <c r="C140" s="247">
        <f>SUM(C139)</f>
        <v>10863</v>
      </c>
      <c r="E140" s="240">
        <f>C140-I140</f>
        <v>1244</v>
      </c>
      <c r="F140" s="241">
        <f>IFERROR(E140/I140,0)</f>
        <v>0.12932737290778668</v>
      </c>
      <c r="G140" s="241">
        <f>IFERROR(C140/$C$88,0)</f>
        <v>1.0615655233069481</v>
      </c>
      <c r="I140" s="247">
        <f>SUM(I139)</f>
        <v>9619</v>
      </c>
    </row>
    <row r="141" spans="2:9">
      <c r="B141" s="251"/>
    </row>
    <row r="142" spans="2:9">
      <c r="B142" s="197" t="s">
        <v>1009</v>
      </c>
      <c r="C142" s="179"/>
      <c r="E142" s="240"/>
      <c r="F142" s="241"/>
      <c r="G142" s="241"/>
      <c r="I142" s="179"/>
    </row>
    <row r="143" spans="2:9">
      <c r="B143" s="197" t="s">
        <v>732</v>
      </c>
      <c r="C143" s="247">
        <f>-ROUND(SUMIFS(Base!J:J,Base!P:P,'Notas explicativas'!$B$135,Base!Q:Q,'Notas explicativas'!B143)/1000,0)</f>
        <v>506999</v>
      </c>
      <c r="E143" s="240">
        <f>C143-I143</f>
        <v>57024</v>
      </c>
      <c r="F143" s="241">
        <f>IFERROR(E143/I143,0)</f>
        <v>0.12672704039113283</v>
      </c>
      <c r="G143" s="241">
        <f>IFERROR(C143/$C$88,0)</f>
        <v>49.545490081110131</v>
      </c>
      <c r="I143" s="247">
        <f>-ROUND(SUMIFS(Base!F:F,Base!P:P,'Notas explicativas'!$B$135,Base!Q:Q,'Notas explicativas'!B143)/1000,0)</f>
        <v>449975</v>
      </c>
    </row>
    <row r="144" spans="2:9">
      <c r="B144" s="197" t="s">
        <v>226</v>
      </c>
      <c r="C144" s="252">
        <f>-ROUND(SUMIFS(Base!J:J,Base!P:P,'Notas explicativas'!$B$135,Base!Q:Q,'Notas explicativas'!B144)/1000,0)</f>
        <v>2395</v>
      </c>
      <c r="E144" s="240">
        <f>C144-I144</f>
        <v>1713</v>
      </c>
      <c r="F144" s="241">
        <f>IFERROR(E144/I144,0)</f>
        <v>2.5117302052785924</v>
      </c>
      <c r="G144" s="241">
        <f>IFERROR(C144/$C$88,0)</f>
        <v>0.23404671161927099</v>
      </c>
      <c r="I144" s="252">
        <f>-ROUND(SUMIFS(Base!F:F,Base!P:P,'Notas explicativas'!$B$135,Base!Q:Q,'Notas explicativas'!B144)/1000,0)</f>
        <v>682</v>
      </c>
    </row>
    <row r="145" spans="2:9">
      <c r="B145" s="251"/>
      <c r="C145" s="247">
        <f>SUM(C143:C144)</f>
        <v>509394</v>
      </c>
      <c r="E145" s="240">
        <f>C145-I145</f>
        <v>58737</v>
      </c>
      <c r="F145" s="241">
        <f>IFERROR(E145/I145,0)</f>
        <v>0.13033637555835148</v>
      </c>
      <c r="G145" s="241">
        <f>IFERROR(C145/$C$88,0)</f>
        <v>49.779536792729402</v>
      </c>
      <c r="I145" s="247">
        <f>SUM(I143:I144)</f>
        <v>450657</v>
      </c>
    </row>
    <row r="146" spans="2:9">
      <c r="B146" s="251"/>
      <c r="C146" s="247"/>
      <c r="I146" s="247"/>
    </row>
    <row r="147" spans="2:9">
      <c r="B147" s="197" t="s">
        <v>1010</v>
      </c>
      <c r="C147" s="253">
        <f>C145+C140</f>
        <v>520257</v>
      </c>
      <c r="E147" s="240">
        <f>C147-I147</f>
        <v>59981</v>
      </c>
      <c r="F147" s="241">
        <f>IFERROR(E147/I147,0)</f>
        <v>0.1303152890874171</v>
      </c>
      <c r="G147" s="241">
        <f>IFERROR(C147/$C$88,0)</f>
        <v>50.841102316036356</v>
      </c>
      <c r="I147" s="253">
        <f>I145+I140</f>
        <v>460276</v>
      </c>
    </row>
    <row r="149" spans="2:9">
      <c r="B149" s="197" t="s">
        <v>125</v>
      </c>
      <c r="C149" s="179" t="e">
        <f>#REF!-C147</f>
        <v>#REF!</v>
      </c>
      <c r="I149" s="247" t="e">
        <f>#REF!-I147</f>
        <v>#REF!</v>
      </c>
    </row>
    <row r="151" spans="2:9">
      <c r="B151" s="234" t="s">
        <v>741</v>
      </c>
      <c r="C151" s="234"/>
      <c r="D151" s="234"/>
      <c r="E151" s="234"/>
      <c r="F151" s="234"/>
      <c r="G151" s="234"/>
      <c r="H151" s="234"/>
      <c r="I151" s="234"/>
    </row>
    <row r="152" spans="2:9">
      <c r="B152" s="198"/>
      <c r="C152" s="198"/>
      <c r="D152" s="198"/>
      <c r="E152" s="198"/>
      <c r="F152" s="198"/>
      <c r="G152" s="198"/>
      <c r="H152" s="198"/>
      <c r="I152" s="198"/>
    </row>
    <row r="153" spans="2:9">
      <c r="B153" s="198"/>
      <c r="C153" s="231">
        <f>$C$2</f>
        <v>41455</v>
      </c>
      <c r="D153" s="237"/>
      <c r="E153" s="238" t="s">
        <v>979</v>
      </c>
      <c r="F153" s="238" t="s">
        <v>980</v>
      </c>
      <c r="G153" s="238" t="s">
        <v>981</v>
      </c>
      <c r="H153" s="237"/>
      <c r="I153" s="231">
        <f>$I$2</f>
        <v>41274</v>
      </c>
    </row>
    <row r="154" spans="2:9">
      <c r="B154" s="197"/>
      <c r="C154" s="239"/>
      <c r="D154" s="200"/>
      <c r="E154" s="240"/>
      <c r="F154" s="241"/>
      <c r="G154" s="241"/>
      <c r="H154" s="200"/>
      <c r="I154" s="239"/>
    </row>
    <row r="155" spans="2:9">
      <c r="B155" s="197" t="s">
        <v>744</v>
      </c>
      <c r="C155" s="247">
        <f>-ROUND(SUMIFS(Base!J:J,Base!P:P,'Notas explicativas'!$B$151,Base!Q:Q,'Notas explicativas'!B155)/1000,0)</f>
        <v>1124062</v>
      </c>
      <c r="E155" s="240">
        <f t="shared" ref="E155:E173" si="12">C155-I155</f>
        <v>870955</v>
      </c>
      <c r="F155" s="241">
        <f t="shared" ref="F155:F173" si="13">IFERROR(E155/I155,0)</f>
        <v>3.4410545737573437</v>
      </c>
      <c r="G155" s="241">
        <f t="shared" ref="G155:G173" si="14">IFERROR(C155/$C$88,0)</f>
        <v>109.8467702531027</v>
      </c>
      <c r="I155" s="247">
        <f>-ROUND(SUMIFS(Base!F:F,Base!P:P,'Notas explicativas'!$B$151,Base!Q:Q,'Notas explicativas'!B155)/1000,0)</f>
        <v>253107</v>
      </c>
    </row>
    <row r="156" spans="2:9">
      <c r="B156" s="197" t="s">
        <v>785</v>
      </c>
      <c r="C156" s="247">
        <f>-ROUND(SUMIFS(Base!J:J,Base!P:P,'Notas explicativas'!$B$151,Base!Q:Q,'Notas explicativas'!B156)/1000,0)</f>
        <v>-1124</v>
      </c>
      <c r="E156" s="240">
        <f t="shared" si="12"/>
        <v>-143</v>
      </c>
      <c r="F156" s="241">
        <f t="shared" si="13"/>
        <v>0.14576962283384301</v>
      </c>
      <c r="G156" s="241">
        <f t="shared" si="14"/>
        <v>-0.10984071142382489</v>
      </c>
      <c r="I156" s="247">
        <f>-ROUND(SUMIFS(Base!F:F,Base!P:P,'Notas explicativas'!$B$151,Base!Q:Q,'Notas explicativas'!B156)/1000,0)</f>
        <v>-981</v>
      </c>
    </row>
    <row r="157" spans="2:9">
      <c r="B157" s="197" t="s">
        <v>796</v>
      </c>
      <c r="C157" s="247">
        <f>-ROUND(SUMIFS(Base!J:J,Base!P:P,'Notas explicativas'!$B$151,Base!Q:Q,'Notas explicativas'!B157)/1000,0)</f>
        <v>-1</v>
      </c>
      <c r="E157" s="240">
        <f t="shared" si="12"/>
        <v>-1</v>
      </c>
      <c r="F157" s="241">
        <f t="shared" si="13"/>
        <v>0</v>
      </c>
      <c r="G157" s="241">
        <f t="shared" si="14"/>
        <v>-9.7723052868171605E-5</v>
      </c>
      <c r="I157" s="247">
        <f>-ROUND(SUMIFS(Base!F:F,Base!P:P,'Notas explicativas'!$B$151,Base!Q:Q,'Notas explicativas'!B157)/1000,0)</f>
        <v>0</v>
      </c>
    </row>
    <row r="158" spans="2:9">
      <c r="B158" s="197" t="s">
        <v>767</v>
      </c>
      <c r="C158" s="247">
        <f>-ROUND(SUMIFS(Base!J:J,Base!P:P,'Notas explicativas'!$B$151,Base!Q:Q,'Notas explicativas'!B158)/1000,0)</f>
        <v>-5190</v>
      </c>
      <c r="E158" s="240">
        <f t="shared" si="12"/>
        <v>-5190</v>
      </c>
      <c r="F158" s="241">
        <f t="shared" si="13"/>
        <v>0</v>
      </c>
      <c r="G158" s="241">
        <f t="shared" si="14"/>
        <v>-0.50718264438581062</v>
      </c>
      <c r="I158" s="247">
        <f>-ROUND(SUMIFS(Base!F:F,Base!P:P,'Notas explicativas'!$B$151,Base!Q:Q,'Notas explicativas'!B158)/1000,0)</f>
        <v>0</v>
      </c>
    </row>
    <row r="159" spans="2:9">
      <c r="B159" s="197" t="s">
        <v>760</v>
      </c>
      <c r="C159" s="247">
        <f>-ROUND(SUMIFS(Base!J:J,Base!P:P,'Notas explicativas'!$B$151,Base!Q:Q,'Notas explicativas'!B159)/1000,0)</f>
        <v>-89767</v>
      </c>
      <c r="E159" s="240">
        <f t="shared" si="12"/>
        <v>-71242</v>
      </c>
      <c r="F159" s="241">
        <f t="shared" si="13"/>
        <v>3.8457219973009447</v>
      </c>
      <c r="G159" s="241">
        <f t="shared" si="14"/>
        <v>-8.7723052868171596</v>
      </c>
      <c r="I159" s="247">
        <f>-ROUND(SUMIFS(Base!F:F,Base!P:P,'Notas explicativas'!$B$151,Base!Q:Q,'Notas explicativas'!B159)/1000,0)+89</f>
        <v>-18525</v>
      </c>
    </row>
    <row r="160" spans="2:9">
      <c r="B160" s="197" t="s">
        <v>794</v>
      </c>
      <c r="C160" s="247">
        <f>-ROUND(SUMIFS(Base!J:J,Base!P:P,'Notas explicativas'!$B$151,Base!Q:Q,'Notas explicativas'!B160)/1000,0)</f>
        <v>-74</v>
      </c>
      <c r="E160" s="240">
        <f t="shared" si="12"/>
        <v>-65</v>
      </c>
      <c r="F160" s="241">
        <f t="shared" si="13"/>
        <v>7.2222222222222223</v>
      </c>
      <c r="G160" s="241">
        <f t="shared" si="14"/>
        <v>-7.2315059122446982E-3</v>
      </c>
      <c r="I160" s="247">
        <f>-ROUND(SUMIFS(Base!F:F,Base!P:P,'Notas explicativas'!$B$151,Base!Q:Q,'Notas explicativas'!B160)/1000,0)</f>
        <v>-9</v>
      </c>
    </row>
    <row r="161" spans="2:9">
      <c r="B161" s="197" t="s">
        <v>769</v>
      </c>
      <c r="C161" s="247">
        <f>-ROUND(SUMIFS(Base!J:J,Base!P:P,'Notas explicativas'!$B$151,Base!Q:Q,'Notas explicativas'!B161)/1000,0)</f>
        <v>-7077</v>
      </c>
      <c r="E161" s="240">
        <f t="shared" si="12"/>
        <v>-6281</v>
      </c>
      <c r="F161" s="241">
        <f t="shared" si="13"/>
        <v>7.8907035175879399</v>
      </c>
      <c r="G161" s="241">
        <f t="shared" si="14"/>
        <v>-0.69158604514805044</v>
      </c>
      <c r="I161" s="247">
        <f>-ROUND(SUMIFS(Base!F:F,Base!P:P,'Notas explicativas'!$B$151,Base!Q:Q,'Notas explicativas'!B161)/1000,0)+6</f>
        <v>-796</v>
      </c>
    </row>
    <row r="162" spans="2:9">
      <c r="B162" s="197" t="s">
        <v>790</v>
      </c>
      <c r="C162" s="247">
        <f>-ROUND(SUMIFS(Base!J:J,Base!P:P,'Notas explicativas'!$B$151,Base!Q:Q,'Notas explicativas'!B162)/1000,0)</f>
        <v>-743</v>
      </c>
      <c r="E162" s="240">
        <f t="shared" si="12"/>
        <v>10547</v>
      </c>
      <c r="F162" s="241">
        <f t="shared" si="13"/>
        <v>-0.93418954827280776</v>
      </c>
      <c r="G162" s="241">
        <f t="shared" si="14"/>
        <v>-7.2608228281051498E-2</v>
      </c>
      <c r="I162" s="247">
        <f>-ROUND(SUMIFS(Base!F:F,Base!P:P,'Notas explicativas'!$B$151,Base!Q:Q,'Notas explicativas'!B162)/1000,0)</f>
        <v>-11290</v>
      </c>
    </row>
    <row r="163" spans="2:9">
      <c r="B163" s="197" t="s">
        <v>788</v>
      </c>
      <c r="C163" s="247">
        <f>-ROUND(SUMIFS(Base!J:J,Base!P:P,'Notas explicativas'!$B$151,Base!Q:Q,'Notas explicativas'!B163)/1000,0)</f>
        <v>-9</v>
      </c>
      <c r="E163" s="240">
        <f t="shared" si="12"/>
        <v>14</v>
      </c>
      <c r="F163" s="241">
        <f t="shared" si="13"/>
        <v>-0.60869565217391308</v>
      </c>
      <c r="G163" s="241">
        <f t="shared" si="14"/>
        <v>-8.7950747581354446E-4</v>
      </c>
      <c r="I163" s="247">
        <f>-ROUND(SUMIFS(Base!F:F,Base!P:P,'Notas explicativas'!$B$151,Base!Q:Q,'Notas explicativas'!B163)/1000,0)</f>
        <v>-23</v>
      </c>
    </row>
    <row r="164" spans="2:9">
      <c r="B164" s="197" t="s">
        <v>869</v>
      </c>
      <c r="C164" s="247">
        <f>-ROUND(SUMIFS(Base!J:J,Base!P:P,'Notas explicativas'!$B$151,Base!Q:Q,'Notas explicativas'!B164)/1000,0)</f>
        <v>-98</v>
      </c>
      <c r="E164" s="240">
        <f t="shared" si="12"/>
        <v>37</v>
      </c>
      <c r="F164" s="241">
        <f t="shared" si="13"/>
        <v>-0.27407407407407408</v>
      </c>
      <c r="G164" s="241">
        <f t="shared" si="14"/>
        <v>-9.5768591810808171E-3</v>
      </c>
      <c r="I164" s="247">
        <f>-ROUND(SUMIFS(Base!F:F,Base!P:P,'Notas explicativas'!$B$151,Base!Q:Q,'Notas explicativas'!B164)/1000,0)</f>
        <v>-135</v>
      </c>
    </row>
    <row r="165" spans="2:9">
      <c r="B165" s="197" t="s">
        <v>874</v>
      </c>
      <c r="C165" s="247">
        <f>-ROUND(SUMIFS(Base!J:J,Base!P:P,'Notas explicativas'!$B$151,Base!Q:Q,'Notas explicativas'!B165)/1000,0)</f>
        <v>-14</v>
      </c>
      <c r="E165" s="240">
        <f t="shared" si="12"/>
        <v>4</v>
      </c>
      <c r="F165" s="241">
        <f t="shared" si="13"/>
        <v>-0.22222222222222221</v>
      </c>
      <c r="G165" s="241">
        <f t="shared" si="14"/>
        <v>-1.3681227401544024E-3</v>
      </c>
      <c r="I165" s="247">
        <f>-ROUND(SUMIFS(Base!F:F,Base!P:P,'Notas explicativas'!$B$151,Base!Q:Q,'Notas explicativas'!B165)/1000,0)</f>
        <v>-18</v>
      </c>
    </row>
    <row r="166" spans="2:9">
      <c r="B166" s="197" t="s">
        <v>878</v>
      </c>
      <c r="C166" s="247">
        <f>-ROUND(SUMIFS(Base!J:J,Base!P:P,'Notas explicativas'!$B$151,Base!Q:Q,'Notas explicativas'!B166)/1000,0)</f>
        <v>-282</v>
      </c>
      <c r="E166" s="240">
        <f t="shared" si="12"/>
        <v>3101</v>
      </c>
      <c r="F166" s="241">
        <f t="shared" si="13"/>
        <v>-0.91664203369790132</v>
      </c>
      <c r="G166" s="241">
        <f t="shared" si="14"/>
        <v>-2.7557900908824391E-2</v>
      </c>
      <c r="I166" s="247">
        <f>-ROUND(SUMIFS(Base!F:F,Base!P:P,'Notas explicativas'!$B$151,Base!Q:Q,'Notas explicativas'!B166)/1000,0)</f>
        <v>-3383</v>
      </c>
    </row>
    <row r="167" spans="2:9">
      <c r="B167" s="197" t="s">
        <v>879</v>
      </c>
      <c r="C167" s="247">
        <f>-ROUND(SUMIFS(Base!J:J,Base!P:P,'Notas explicativas'!$B$151,Base!Q:Q,'Notas explicativas'!B167)/1000,0)</f>
        <v>-146</v>
      </c>
      <c r="E167" s="240">
        <f t="shared" si="12"/>
        <v>-18</v>
      </c>
      <c r="F167" s="241">
        <f t="shared" si="13"/>
        <v>0.140625</v>
      </c>
      <c r="G167" s="241">
        <f t="shared" si="14"/>
        <v>-1.4267565718753053E-2</v>
      </c>
      <c r="I167" s="247">
        <f>-ROUND(SUMIFS(Base!F:F,Base!P:P,'Notas explicativas'!$B$151,Base!Q:Q,'Notas explicativas'!B167)/1000,0)</f>
        <v>-128</v>
      </c>
    </row>
    <row r="168" spans="2:9">
      <c r="B168" s="197" t="s">
        <v>881</v>
      </c>
      <c r="C168" s="247">
        <f>-ROUND(SUMIFS(Base!J:J,Base!P:P,'Notas explicativas'!$B$151,Base!Q:Q,'Notas explicativas'!B168)/1000,0)</f>
        <v>-318</v>
      </c>
      <c r="E168" s="240">
        <f t="shared" si="12"/>
        <v>3</v>
      </c>
      <c r="F168" s="241">
        <f t="shared" si="13"/>
        <v>-9.3457943925233638E-3</v>
      </c>
      <c r="G168" s="241">
        <f t="shared" si="14"/>
        <v>-3.1075930812078569E-2</v>
      </c>
      <c r="I168" s="247">
        <f>-ROUND(SUMIFS(Base!F:F,Base!P:P,'Notas explicativas'!$B$151,Base!Q:Q,'Notas explicativas'!B168)/1000,0)</f>
        <v>-321</v>
      </c>
    </row>
    <row r="169" spans="2:9">
      <c r="B169" s="197" t="s">
        <v>872</v>
      </c>
      <c r="C169" s="247">
        <f>-ROUND(SUMIFS(Base!J:J,Base!P:P,'Notas explicativas'!$B$151,Base!Q:Q,'Notas explicativas'!B169)/1000,0)</f>
        <v>-6</v>
      </c>
      <c r="E169" s="240">
        <f t="shared" si="12"/>
        <v>1228</v>
      </c>
      <c r="F169" s="241">
        <f t="shared" si="13"/>
        <v>-0.99513776337115067</v>
      </c>
      <c r="G169" s="241">
        <f t="shared" si="14"/>
        <v>-5.863383172090296E-4</v>
      </c>
      <c r="I169" s="247">
        <f>-ROUND(SUMIFS(Base!F:F,Base!P:P,'Notas explicativas'!$B$151,Base!Q:Q,'Notas explicativas'!B169)/1000,0)</f>
        <v>-1234</v>
      </c>
    </row>
    <row r="170" spans="2:9">
      <c r="B170" s="197" t="s">
        <v>876</v>
      </c>
      <c r="C170" s="247">
        <f>-ROUND(SUMIFS(Base!J:J,Base!P:P,'Notas explicativas'!$B$151,Base!Q:Q,'Notas explicativas'!B170)/1000,0)</f>
        <v>-5967</v>
      </c>
      <c r="E170" s="240">
        <f t="shared" si="12"/>
        <v>-5873</v>
      </c>
      <c r="F170" s="241">
        <f t="shared" si="13"/>
        <v>62.478723404255319</v>
      </c>
      <c r="G170" s="241">
        <f t="shared" si="14"/>
        <v>-0.58311345646437995</v>
      </c>
      <c r="I170" s="247">
        <f>-ROUND(SUMIFS(Base!F:F,Base!P:P,'Notas explicativas'!$B$151,Base!Q:Q,'Notas explicativas'!B170)/1000,0)</f>
        <v>-94</v>
      </c>
    </row>
    <row r="171" spans="2:9">
      <c r="B171" s="197" t="s">
        <v>742</v>
      </c>
      <c r="C171" s="247">
        <f>-ROUND(SUMIFS(Base!J:J,Base!P:P,'Notas explicativas'!$B$151,Base!Q:Q,'Notas explicativas'!B171)/1000,0)</f>
        <v>708</v>
      </c>
      <c r="E171" s="240">
        <f t="shared" si="12"/>
        <v>756</v>
      </c>
      <c r="F171" s="241">
        <f t="shared" si="13"/>
        <v>-15.75</v>
      </c>
      <c r="G171" s="241">
        <f t="shared" si="14"/>
        <v>6.9187921430665489E-2</v>
      </c>
      <c r="I171" s="247">
        <f>-ROUND(SUMIFS(Base!F:F,Base!P:P,'Notas explicativas'!$B$151,Base!Q:Q,'Notas explicativas'!B171)/1000,0)</f>
        <v>-48</v>
      </c>
    </row>
    <row r="172" spans="2:9">
      <c r="B172" s="197" t="s">
        <v>226</v>
      </c>
      <c r="C172" s="247">
        <f>-ROUND(SUMIFS(Base!J:J,Base!P:P,'Notas explicativas'!$B$151,Base!Q:Q,'Notas explicativas'!B172)/1000,0)-2</f>
        <v>-1207</v>
      </c>
      <c r="E172" s="240">
        <f t="shared" si="12"/>
        <v>9</v>
      </c>
      <c r="F172" s="241">
        <f t="shared" si="13"/>
        <v>-7.4013157894736838E-3</v>
      </c>
      <c r="G172" s="241">
        <f t="shared" si="14"/>
        <v>-0.11795172481188312</v>
      </c>
      <c r="I172" s="247">
        <f>-ROUND(SUMIFS(Base!F:F,Base!P:P,'Notas explicativas'!$B$151,Base!Q:Q,'Notas explicativas'!B172)/1000,0)+2</f>
        <v>-1216</v>
      </c>
    </row>
    <row r="173" spans="2:9">
      <c r="C173" s="253">
        <f>SUM(C155:C172)</f>
        <v>1012747</v>
      </c>
      <c r="E173" s="240">
        <f t="shared" si="12"/>
        <v>797841</v>
      </c>
      <c r="F173" s="241">
        <f t="shared" si="13"/>
        <v>3.7125115166630991</v>
      </c>
      <c r="G173" s="241">
        <f t="shared" si="14"/>
        <v>98.968728623082185</v>
      </c>
      <c r="I173" s="253">
        <f>SUM(I155:I172)</f>
        <v>214906</v>
      </c>
    </row>
    <row r="175" spans="2:9">
      <c r="C175" s="247" t="e">
        <f>#REF!+#REF!+#REF!+#REF!-C173</f>
        <v>#REF!</v>
      </c>
      <c r="I175" s="247" t="e">
        <f>#REF!+#REF!+#REF!+#REF!-I173</f>
        <v>#REF!</v>
      </c>
    </row>
    <row r="177" spans="2:12">
      <c r="C177" s="231">
        <f>$C$2</f>
        <v>41455</v>
      </c>
      <c r="D177" s="237"/>
      <c r="E177" s="238" t="s">
        <v>979</v>
      </c>
      <c r="F177" s="238" t="s">
        <v>980</v>
      </c>
      <c r="G177" s="238" t="s">
        <v>981</v>
      </c>
      <c r="H177" s="237"/>
      <c r="I177" s="231">
        <f>$I$2</f>
        <v>41274</v>
      </c>
    </row>
    <row r="178" spans="2:12">
      <c r="B178" s="197" t="s">
        <v>1011</v>
      </c>
      <c r="C178" s="239"/>
      <c r="D178" s="200"/>
      <c r="E178" s="240"/>
      <c r="F178" s="241"/>
      <c r="G178" s="241"/>
      <c r="H178" s="200"/>
      <c r="I178" s="239"/>
    </row>
    <row r="179" spans="2:12">
      <c r="B179" s="197" t="s">
        <v>773</v>
      </c>
      <c r="C179" s="247">
        <f>-ROUND(SUMIFS(Base!J:J,Base!P:P,'Notas explicativas'!$B$151,Base!O:O,'Notas explicativas'!B179)/1000,0)</f>
        <v>-48893</v>
      </c>
      <c r="E179" s="240">
        <f t="shared" ref="E179:E184" si="15">C179-I179</f>
        <v>-11960</v>
      </c>
      <c r="F179" s="241">
        <f t="shared" ref="F179:F184" si="16">IFERROR(E179/I179,0)</f>
        <v>0.32382963745160154</v>
      </c>
      <c r="G179" s="241">
        <f t="shared" ref="G179:G184" si="17">IFERROR(C179/$C$88,0)</f>
        <v>-4.7779732238835138</v>
      </c>
      <c r="I179" s="247">
        <f>-ROUND(SUMIFS(Base!F:F,Base!P:P,'Notas explicativas'!$B$151,Base!O:O,'Notas explicativas'!B179)/1000,0)-173</f>
        <v>-36933</v>
      </c>
      <c r="L179" s="247"/>
    </row>
    <row r="180" spans="2:12">
      <c r="B180" s="197" t="s">
        <v>834</v>
      </c>
      <c r="C180" s="247">
        <f>-ROUND(SUMIFS(Base!J:J,Base!P:P,'Notas explicativas'!$B$151,Base!O:O,'Notas explicativas'!B180)/1000,0)</f>
        <v>-11398</v>
      </c>
      <c r="E180" s="240">
        <f t="shared" si="15"/>
        <v>7854</v>
      </c>
      <c r="F180" s="241">
        <f t="shared" si="16"/>
        <v>-0.40795761479326825</v>
      </c>
      <c r="G180" s="241">
        <f t="shared" si="17"/>
        <v>-1.11384735659142</v>
      </c>
      <c r="I180" s="247">
        <f>-ROUND(SUMIFS(Base!F:F,Base!P:P,'Notas explicativas'!$B$151,Base!O:O,'Notas explicativas'!B180)/1000,0)+269</f>
        <v>-19252</v>
      </c>
    </row>
    <row r="181" spans="2:12">
      <c r="B181" s="197" t="s">
        <v>907</v>
      </c>
      <c r="C181" s="247">
        <f>-ROUND(SUMIFS(Base!J:J,Base!P:P,'Notas explicativas'!$B$151,Base!O:O,'Notas explicativas'!B181)/1000,0)</f>
        <v>0</v>
      </c>
      <c r="E181" s="240">
        <f t="shared" si="15"/>
        <v>-1</v>
      </c>
      <c r="F181" s="241">
        <f t="shared" si="16"/>
        <v>-1</v>
      </c>
      <c r="G181" s="241">
        <f t="shared" si="17"/>
        <v>0</v>
      </c>
      <c r="I181" s="247">
        <f>-ROUND(SUMIFS(Base!F:F,Base!P:P,'Notas explicativas'!$B$151,Base!O:O,'Notas explicativas'!B181)/1000,0)+1</f>
        <v>1</v>
      </c>
    </row>
    <row r="182" spans="2:12">
      <c r="B182" s="197" t="s">
        <v>901</v>
      </c>
      <c r="C182" s="247">
        <f>-ROUND(SUMIFS(Base!J:J,Base!P:P,'Notas explicativas'!$B$151,Base!O:O,'Notas explicativas'!B182)/1000,0)</f>
        <v>0</v>
      </c>
      <c r="E182" s="240">
        <f t="shared" si="15"/>
        <v>1</v>
      </c>
      <c r="F182" s="241">
        <f t="shared" si="16"/>
        <v>-1</v>
      </c>
      <c r="G182" s="241">
        <f t="shared" si="17"/>
        <v>0</v>
      </c>
      <c r="I182" s="247">
        <f>-ROUND(SUMIFS(Base!F:F,Base!P:P,'Notas explicativas'!$B$151,Base!O:O,'Notas explicativas'!B182)/1000,0)-1</f>
        <v>-1</v>
      </c>
    </row>
    <row r="183" spans="2:12">
      <c r="B183" s="197" t="s">
        <v>771</v>
      </c>
      <c r="C183" s="247">
        <f>-ROUND(SUMIFS(Base!J:J,Base!P:P,'Notas explicativas'!$B$151,Base!O:O,'Notas explicativas'!B183)/1000,0)</f>
        <v>0</v>
      </c>
      <c r="E183" s="240">
        <f t="shared" si="15"/>
        <v>-1462</v>
      </c>
      <c r="F183" s="241">
        <f t="shared" si="16"/>
        <v>-1</v>
      </c>
      <c r="G183" s="241">
        <f t="shared" si="17"/>
        <v>0</v>
      </c>
      <c r="I183" s="247">
        <f>-ROUND(SUMIFS(Base!F:F,Base!P:P,'Notas explicativas'!$B$151,Base!O:O,'Notas explicativas'!B183)/1000,0)+1</f>
        <v>1462</v>
      </c>
    </row>
    <row r="184" spans="2:12">
      <c r="C184" s="253">
        <f>SUM(C179:C183)</f>
        <v>-60291</v>
      </c>
      <c r="E184" s="240">
        <f t="shared" si="15"/>
        <v>-5568</v>
      </c>
      <c r="F184" s="241">
        <f t="shared" si="16"/>
        <v>0.10174880763116058</v>
      </c>
      <c r="G184" s="241">
        <f t="shared" si="17"/>
        <v>-5.891820580474934</v>
      </c>
      <c r="I184" s="253">
        <f>SUM(I179:I183)</f>
        <v>-54723</v>
      </c>
    </row>
    <row r="186" spans="2:12">
      <c r="C186" s="247">
        <f>C184-C173</f>
        <v>-1073038</v>
      </c>
      <c r="I186" s="247">
        <f>I184-I173</f>
        <v>-269629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MK65"/>
  <sheetViews>
    <sheetView showGridLines="0" topLeftCell="A3" zoomScaleNormal="100" workbookViewId="0">
      <selection activeCell="D2" sqref="D2"/>
    </sheetView>
  </sheetViews>
  <sheetFormatPr defaultRowHeight="16.5"/>
  <cols>
    <col min="1" max="1" width="3.75" style="254" customWidth="1"/>
    <col min="2" max="2" width="28.625" style="254" customWidth="1"/>
    <col min="3" max="3" width="1.5" style="255" customWidth="1"/>
    <col min="4" max="4" width="12" style="254" customWidth="1"/>
    <col min="5" max="5" width="1.5" style="254" customWidth="1"/>
    <col min="6" max="6" width="8.75" style="254" customWidth="1"/>
    <col min="7" max="9" width="8.125" style="254" customWidth="1"/>
    <col min="10" max="10" width="1.5" style="254" customWidth="1"/>
    <col min="11" max="11" width="12" style="254" customWidth="1"/>
    <col min="12" max="12" width="1.5" style="254" customWidth="1"/>
    <col min="13" max="13" width="8.125" style="254" customWidth="1"/>
    <col min="14" max="15" width="1.5" style="254" customWidth="1"/>
    <col min="16" max="16" width="33.5" style="254" customWidth="1"/>
    <col min="17" max="17" width="1.5" style="256" customWidth="1"/>
    <col min="18" max="18" width="12" style="7" customWidth="1"/>
    <col min="19" max="19" width="1.5" style="7" customWidth="1"/>
    <col min="20" max="20" width="8.875" style="254" customWidth="1"/>
    <col min="21" max="23" width="8.125" style="254" customWidth="1"/>
    <col min="24" max="24" width="1.5" style="7" customWidth="1"/>
    <col min="25" max="25" width="12" style="6" customWidth="1"/>
    <col min="26" max="26" width="1.5" style="254" customWidth="1"/>
    <col min="27" max="27" width="10.125" style="254" customWidth="1"/>
    <col min="28" max="28" width="13" style="6" customWidth="1"/>
    <col min="29" max="29" width="12.5" style="6" customWidth="1"/>
    <col min="30" max="30" width="12.75" style="6" customWidth="1"/>
    <col min="31" max="267" width="9" style="254" customWidth="1"/>
    <col min="268" max="268" width="1.5" style="254" customWidth="1"/>
    <col min="269" max="269" width="28.625" style="254" customWidth="1"/>
    <col min="270" max="270" width="9.625" style="254" customWidth="1"/>
    <col min="271" max="271" width="1.5" style="254" customWidth="1"/>
    <col min="272" max="272" width="12" style="254" customWidth="1"/>
    <col min="273" max="273" width="1.5" style="254" customWidth="1"/>
    <col min="274" max="274" width="12" style="254" customWidth="1"/>
    <col min="275" max="276" width="1.5" style="254" customWidth="1"/>
    <col min="277" max="277" width="33.5" style="254" customWidth="1"/>
    <col min="278" max="278" width="9.625" style="254" customWidth="1"/>
    <col min="279" max="279" width="1.5" style="254" customWidth="1"/>
    <col min="280" max="280" width="12" style="254" customWidth="1"/>
    <col min="281" max="281" width="1.5" style="254" customWidth="1"/>
    <col min="282" max="282" width="12" style="254" customWidth="1"/>
    <col min="283" max="283" width="9" style="254" customWidth="1"/>
    <col min="284" max="284" width="13" style="254" customWidth="1"/>
    <col min="285" max="285" width="12.5" style="254" customWidth="1"/>
    <col min="286" max="286" width="12.75" style="254" customWidth="1"/>
    <col min="287" max="523" width="9" style="254" customWidth="1"/>
    <col min="524" max="524" width="1.5" style="254" customWidth="1"/>
    <col min="525" max="525" width="28.625" style="254" customWidth="1"/>
    <col min="526" max="526" width="9.625" style="254" customWidth="1"/>
    <col min="527" max="527" width="1.5" style="254" customWidth="1"/>
    <col min="528" max="528" width="12" style="254" customWidth="1"/>
    <col min="529" max="529" width="1.5" style="254" customWidth="1"/>
    <col min="530" max="530" width="12" style="254" customWidth="1"/>
    <col min="531" max="532" width="1.5" style="254" customWidth="1"/>
    <col min="533" max="533" width="33.5" style="254" customWidth="1"/>
    <col min="534" max="534" width="9.625" style="254" customWidth="1"/>
    <col min="535" max="535" width="1.5" style="254" customWidth="1"/>
    <col min="536" max="536" width="12" style="254" customWidth="1"/>
    <col min="537" max="537" width="1.5" style="254" customWidth="1"/>
    <col min="538" max="538" width="12" style="254" customWidth="1"/>
    <col min="539" max="539" width="9" style="254" customWidth="1"/>
    <col min="540" max="540" width="13" style="254" customWidth="1"/>
    <col min="541" max="541" width="12.5" style="254" customWidth="1"/>
    <col min="542" max="542" width="12.75" style="254" customWidth="1"/>
    <col min="543" max="779" width="9" style="254" customWidth="1"/>
    <col min="780" max="780" width="1.5" style="254" customWidth="1"/>
    <col min="781" max="781" width="28.625" style="254" customWidth="1"/>
    <col min="782" max="782" width="9.625" style="254" customWidth="1"/>
    <col min="783" max="783" width="1.5" style="254" customWidth="1"/>
    <col min="784" max="784" width="12" style="254" customWidth="1"/>
    <col min="785" max="785" width="1.5" style="254" customWidth="1"/>
    <col min="786" max="786" width="12" style="254" customWidth="1"/>
    <col min="787" max="788" width="1.5" style="254" customWidth="1"/>
    <col min="789" max="789" width="33.5" style="254" customWidth="1"/>
    <col min="790" max="790" width="9.625" style="254" customWidth="1"/>
    <col min="791" max="791" width="1.5" style="254" customWidth="1"/>
    <col min="792" max="792" width="12" style="254" customWidth="1"/>
    <col min="793" max="793" width="1.5" style="254" customWidth="1"/>
    <col min="794" max="794" width="12" style="254" customWidth="1"/>
    <col min="795" max="795" width="9" style="254" customWidth="1"/>
    <col min="796" max="796" width="13" style="254" customWidth="1"/>
    <col min="797" max="797" width="12.5" style="254" customWidth="1"/>
    <col min="798" max="798" width="12.75" style="254" customWidth="1"/>
    <col min="799" max="1025" width="9" style="254" customWidth="1"/>
  </cols>
  <sheetData>
    <row r="1" spans="1:30" ht="28.5" customHeight="1">
      <c r="A1" s="257"/>
      <c r="B1" s="258" t="s">
        <v>1012</v>
      </c>
      <c r="C1" s="257"/>
      <c r="D1" s="257"/>
      <c r="E1" s="257"/>
      <c r="F1" s="259" t="s">
        <v>1013</v>
      </c>
      <c r="G1" s="260"/>
      <c r="H1" s="260"/>
      <c r="I1" s="260"/>
      <c r="J1" s="260"/>
      <c r="K1" s="260"/>
      <c r="L1" s="260"/>
      <c r="M1" s="260"/>
      <c r="N1" s="257"/>
      <c r="O1" s="257"/>
      <c r="P1" s="257"/>
      <c r="Q1" s="261"/>
      <c r="R1" s="262"/>
      <c r="S1" s="262"/>
      <c r="T1" s="257"/>
      <c r="U1" s="257"/>
      <c r="V1" s="257"/>
      <c r="W1" s="257"/>
      <c r="X1" s="262"/>
      <c r="Z1" s="257"/>
      <c r="AA1" s="257"/>
    </row>
    <row r="2" spans="1:30" ht="16.5" customHeight="1">
      <c r="A2" s="257"/>
      <c r="B2" s="258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61"/>
      <c r="R2" s="262"/>
      <c r="S2" s="262"/>
      <c r="T2" s="257"/>
      <c r="U2" s="257"/>
      <c r="V2" s="257"/>
      <c r="W2" s="257"/>
      <c r="X2" s="262"/>
      <c r="Z2" s="257"/>
      <c r="AA2" s="257"/>
    </row>
    <row r="3" spans="1:30" s="263" customFormat="1" ht="18.75" customHeight="1">
      <c r="B3" s="264" t="s">
        <v>1014</v>
      </c>
      <c r="C3" s="265"/>
      <c r="D3" s="266"/>
      <c r="E3" s="266"/>
      <c r="F3" s="266"/>
      <c r="G3" s="266"/>
      <c r="H3" s="266"/>
      <c r="I3" s="266"/>
      <c r="J3" s="266"/>
      <c r="L3" s="266"/>
      <c r="M3" s="266"/>
      <c r="Q3" s="265"/>
      <c r="R3" s="267"/>
      <c r="S3" s="267"/>
      <c r="T3" s="266"/>
      <c r="U3" s="266"/>
      <c r="V3" s="266"/>
      <c r="W3" s="266"/>
      <c r="X3" s="267"/>
      <c r="Y3" s="267"/>
      <c r="Z3" s="266"/>
      <c r="AA3" s="266"/>
      <c r="AB3" s="267"/>
      <c r="AC3" s="267"/>
      <c r="AD3" s="267"/>
    </row>
    <row r="4" spans="1:30" ht="18" customHeight="1">
      <c r="A4" s="268"/>
      <c r="B4" s="269" t="s">
        <v>1015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</row>
    <row r="5" spans="1:30" ht="16.5" customHeight="1">
      <c r="A5" s="271"/>
      <c r="B5" s="272" t="s">
        <v>1016</v>
      </c>
      <c r="C5" s="273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5"/>
      <c r="Q5" s="276"/>
      <c r="R5" s="277"/>
      <c r="S5" s="277"/>
      <c r="T5" s="274"/>
      <c r="U5" s="274"/>
      <c r="V5" s="274"/>
      <c r="W5" s="274"/>
      <c r="X5" s="277"/>
      <c r="Y5" s="277"/>
      <c r="Z5" s="274"/>
      <c r="AA5" s="274"/>
    </row>
    <row r="6" spans="1:30">
      <c r="A6" s="271"/>
      <c r="B6" s="278"/>
      <c r="C6" s="279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80"/>
      <c r="Q6" s="281"/>
      <c r="R6" s="282"/>
      <c r="S6" s="282"/>
      <c r="T6" s="271"/>
      <c r="U6" s="271"/>
      <c r="V6" s="271"/>
      <c r="W6" s="271"/>
      <c r="X6" s="282"/>
      <c r="Y6" s="282"/>
      <c r="Z6" s="271"/>
      <c r="AA6" s="271"/>
    </row>
    <row r="7" spans="1:30" s="291" customFormat="1" ht="15">
      <c r="A7" s="283"/>
      <c r="B7" s="284" t="s">
        <v>119</v>
      </c>
      <c r="C7" s="285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3"/>
      <c r="O7" s="287"/>
      <c r="P7" s="284" t="s">
        <v>1017</v>
      </c>
      <c r="Q7" s="288"/>
      <c r="R7" s="289"/>
      <c r="S7" s="289"/>
      <c r="T7" s="286"/>
      <c r="U7" s="286"/>
      <c r="V7" s="286"/>
      <c r="W7" s="286"/>
      <c r="X7" s="289"/>
      <c r="Y7" s="289"/>
      <c r="Z7" s="286"/>
      <c r="AA7" s="286"/>
      <c r="AB7" s="290"/>
      <c r="AC7" s="290"/>
      <c r="AD7" s="290"/>
    </row>
    <row r="8" spans="1:30" s="303" customFormat="1" ht="30.75" customHeight="1">
      <c r="A8" s="292"/>
      <c r="B8" s="293"/>
      <c r="C8" s="294"/>
      <c r="D8" s="295" t="e">
        <f>#REF!</f>
        <v>#REF!</v>
      </c>
      <c r="E8" s="296"/>
      <c r="F8" s="297" t="s">
        <v>979</v>
      </c>
      <c r="G8" s="297" t="s">
        <v>980</v>
      </c>
      <c r="H8" s="297" t="s">
        <v>981</v>
      </c>
      <c r="I8" s="297" t="s">
        <v>1018</v>
      </c>
      <c r="J8" s="296"/>
      <c r="K8" s="295" t="e">
        <f>#REF!</f>
        <v>#REF!</v>
      </c>
      <c r="L8" s="296"/>
      <c r="M8" s="297" t="s">
        <v>981</v>
      </c>
      <c r="N8" s="292"/>
      <c r="O8" s="298"/>
      <c r="P8" s="293"/>
      <c r="Q8" s="299"/>
      <c r="R8" s="300" t="e">
        <f>D8</f>
        <v>#REF!</v>
      </c>
      <c r="S8" s="301"/>
      <c r="T8" s="297" t="s">
        <v>979</v>
      </c>
      <c r="U8" s="297" t="s">
        <v>980</v>
      </c>
      <c r="V8" s="297" t="s">
        <v>981</v>
      </c>
      <c r="W8" s="297" t="s">
        <v>1018</v>
      </c>
      <c r="X8" s="301"/>
      <c r="Y8" s="300" t="e">
        <f>K8</f>
        <v>#REF!</v>
      </c>
      <c r="Z8" s="296"/>
      <c r="AA8" s="297" t="s">
        <v>981</v>
      </c>
      <c r="AB8" s="302"/>
      <c r="AC8" s="302"/>
      <c r="AD8" s="302"/>
    </row>
    <row r="9" spans="1:30" s="291" customFormat="1" ht="15" customHeight="1">
      <c r="A9" s="304" t="s">
        <v>1019</v>
      </c>
      <c r="B9" s="305" t="s">
        <v>144</v>
      </c>
      <c r="C9" s="306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09"/>
      <c r="P9" s="305" t="s">
        <v>144</v>
      </c>
      <c r="Q9" s="306"/>
      <c r="R9" s="310"/>
      <c r="S9" s="310"/>
      <c r="T9" s="307"/>
      <c r="U9" s="307"/>
      <c r="V9" s="307"/>
      <c r="W9" s="307"/>
      <c r="X9" s="310"/>
      <c r="Y9" s="310"/>
      <c r="Z9" s="307"/>
      <c r="AA9" s="307"/>
      <c r="AB9" s="290"/>
      <c r="AC9" s="311"/>
      <c r="AD9" s="290"/>
    </row>
    <row r="10" spans="1:30" s="291" customFormat="1" ht="15" customHeight="1">
      <c r="A10" s="304"/>
      <c r="B10" s="312" t="e">
        <f>#REF!</f>
        <v>#REF!</v>
      </c>
      <c r="C10" s="313"/>
      <c r="D10" s="240" t="e">
        <f>#REF!</f>
        <v>#REF!</v>
      </c>
      <c r="E10" s="240"/>
      <c r="F10" s="240" t="e">
        <f t="shared" ref="F10:F18" si="0">D10-K10</f>
        <v>#REF!</v>
      </c>
      <c r="G10" s="241">
        <f>IFERROR(F10/K10,0)</f>
        <v>0</v>
      </c>
      <c r="H10" s="241">
        <f t="shared" ref="H10:H18" si="1">IFERROR(D10/$D$34,0)</f>
        <v>0</v>
      </c>
      <c r="I10" s="314" t="str">
        <f>$A$42</f>
        <v>A</v>
      </c>
      <c r="J10" s="240"/>
      <c r="K10" s="240" t="e">
        <f>#REF!</f>
        <v>#REF!</v>
      </c>
      <c r="L10" s="240"/>
      <c r="M10" s="241">
        <f t="shared" ref="M10:M18" si="2">IFERROR(K10/$K$34,0)</f>
        <v>0</v>
      </c>
      <c r="N10" s="315"/>
      <c r="O10" s="316"/>
      <c r="P10" s="291" t="e">
        <f>#REF!</f>
        <v>#REF!</v>
      </c>
      <c r="Q10" s="313"/>
      <c r="R10" s="240" t="e">
        <f>#REF!</f>
        <v>#REF!</v>
      </c>
      <c r="S10" s="240"/>
      <c r="T10" s="240" t="e">
        <f t="shared" ref="T10:T16" si="3">R10-Y10</f>
        <v>#REF!</v>
      </c>
      <c r="U10" s="241">
        <f t="shared" ref="U10:U16" si="4">IFERROR(T10/Y10,0)</f>
        <v>0</v>
      </c>
      <c r="V10" s="241">
        <f>IFERROR(R10/$R$34,0)</f>
        <v>0</v>
      </c>
      <c r="W10" s="317" t="str">
        <f>$A$52</f>
        <v>F</v>
      </c>
      <c r="X10" s="240"/>
      <c r="Y10" s="240" t="e">
        <f>#REF!</f>
        <v>#REF!</v>
      </c>
      <c r="Z10" s="240"/>
      <c r="AA10" s="241">
        <f t="shared" ref="AA10:AA16" si="5">IFERROR(Y10/$Y$34,0)</f>
        <v>0</v>
      </c>
      <c r="AB10" s="311"/>
      <c r="AC10" s="311"/>
      <c r="AD10" s="318"/>
    </row>
    <row r="11" spans="1:30" s="291" customFormat="1" ht="15" customHeight="1">
      <c r="A11" s="304"/>
      <c r="B11" s="312" t="e">
        <f>#REF!</f>
        <v>#REF!</v>
      </c>
      <c r="C11" s="313"/>
      <c r="D11" s="240" t="e">
        <f>#REF!</f>
        <v>#REF!</v>
      </c>
      <c r="E11" s="240"/>
      <c r="F11" s="240" t="e">
        <f t="shared" si="0"/>
        <v>#REF!</v>
      </c>
      <c r="G11" s="241">
        <f>IFERROR(F11/K11,0)</f>
        <v>0</v>
      </c>
      <c r="H11" s="241">
        <f t="shared" si="1"/>
        <v>0</v>
      </c>
      <c r="I11" s="314" t="str">
        <f>$A$44</f>
        <v>B</v>
      </c>
      <c r="J11" s="240"/>
      <c r="K11" s="240" t="e">
        <f>#REF!</f>
        <v>#REF!</v>
      </c>
      <c r="L11" s="240"/>
      <c r="M11" s="241">
        <f t="shared" si="2"/>
        <v>0</v>
      </c>
      <c r="N11" s="315"/>
      <c r="O11" s="316"/>
      <c r="P11" s="291" t="e">
        <f>#REF!</f>
        <v>#REF!</v>
      </c>
      <c r="Q11" s="313"/>
      <c r="R11" s="240" t="e">
        <f>#REF!</f>
        <v>#REF!</v>
      </c>
      <c r="S11" s="240"/>
      <c r="T11" s="240" t="e">
        <f t="shared" si="3"/>
        <v>#REF!</v>
      </c>
      <c r="U11" s="241">
        <f t="shared" si="4"/>
        <v>0</v>
      </c>
      <c r="V11" s="241">
        <f t="shared" ref="V11:V16" si="6">IFERROR(R11/$D$34,0)</f>
        <v>0</v>
      </c>
      <c r="W11" s="317" t="str">
        <f>$A$54</f>
        <v>G</v>
      </c>
      <c r="X11" s="240"/>
      <c r="Y11" s="240" t="e">
        <f>#REF!</f>
        <v>#REF!</v>
      </c>
      <c r="Z11" s="240"/>
      <c r="AA11" s="241">
        <f t="shared" si="5"/>
        <v>0</v>
      </c>
      <c r="AB11" s="311"/>
      <c r="AC11" s="311"/>
      <c r="AD11" s="290"/>
    </row>
    <row r="12" spans="1:30" s="291" customFormat="1" ht="15" customHeight="1">
      <c r="A12" s="304"/>
      <c r="B12" s="291" t="s">
        <v>146</v>
      </c>
      <c r="D12" s="240" t="e">
        <f>#REF!</f>
        <v>#REF!</v>
      </c>
      <c r="F12" s="240" t="e">
        <f t="shared" si="0"/>
        <v>#REF!</v>
      </c>
      <c r="G12" s="319" t="str">
        <f>IFERROR(F12/K12,"N/A")</f>
        <v>N/A</v>
      </c>
      <c r="H12" s="241">
        <f t="shared" si="1"/>
        <v>0</v>
      </c>
      <c r="I12" s="314" t="str">
        <f>$A$46</f>
        <v>C</v>
      </c>
      <c r="K12" s="240" t="e">
        <f>#REF!</f>
        <v>#REF!</v>
      </c>
      <c r="L12" s="240"/>
      <c r="M12" s="241">
        <f t="shared" si="2"/>
        <v>0</v>
      </c>
      <c r="N12" s="315"/>
      <c r="O12" s="316"/>
      <c r="P12" s="291" t="e">
        <f>#REF!</f>
        <v>#REF!</v>
      </c>
      <c r="Q12" s="313"/>
      <c r="R12" s="240" t="e">
        <f>#REF!</f>
        <v>#REF!</v>
      </c>
      <c r="S12" s="240"/>
      <c r="T12" s="240" t="e">
        <f t="shared" si="3"/>
        <v>#REF!</v>
      </c>
      <c r="U12" s="241">
        <f t="shared" si="4"/>
        <v>0</v>
      </c>
      <c r="V12" s="241">
        <f t="shared" si="6"/>
        <v>0</v>
      </c>
      <c r="W12" s="314" t="str">
        <f>$A$42</f>
        <v>A</v>
      </c>
      <c r="X12" s="240"/>
      <c r="Y12" s="240" t="e">
        <f>#REF!</f>
        <v>#REF!</v>
      </c>
      <c r="Z12" s="240"/>
      <c r="AA12" s="241">
        <f t="shared" si="5"/>
        <v>0</v>
      </c>
      <c r="AB12" s="311"/>
      <c r="AC12" s="311"/>
      <c r="AD12" s="318"/>
    </row>
    <row r="13" spans="1:30" s="291" customFormat="1" ht="15" customHeight="1">
      <c r="A13" s="304"/>
      <c r="B13" s="312" t="e">
        <f>#REF!</f>
        <v>#REF!</v>
      </c>
      <c r="C13" s="313"/>
      <c r="D13" s="240" t="e">
        <f>#REF!</f>
        <v>#REF!</v>
      </c>
      <c r="E13" s="240"/>
      <c r="F13" s="240" t="e">
        <f t="shared" si="0"/>
        <v>#REF!</v>
      </c>
      <c r="G13" s="241">
        <f t="shared" ref="G13:G18" si="7">IFERROR(F13/K13,0)</f>
        <v>0</v>
      </c>
      <c r="H13" s="241">
        <f t="shared" si="1"/>
        <v>0</v>
      </c>
      <c r="I13" s="317" t="str">
        <f>$A$48</f>
        <v>D</v>
      </c>
      <c r="J13" s="240"/>
      <c r="K13" s="240" t="e">
        <f>#REF!</f>
        <v>#REF!</v>
      </c>
      <c r="L13" s="240"/>
      <c r="M13" s="241">
        <f t="shared" si="2"/>
        <v>0</v>
      </c>
      <c r="N13" s="315"/>
      <c r="O13" s="316"/>
      <c r="P13" s="291" t="e">
        <f>#REF!</f>
        <v>#REF!</v>
      </c>
      <c r="Q13" s="320"/>
      <c r="R13" s="240" t="e">
        <f>#REF!</f>
        <v>#REF!</v>
      </c>
      <c r="S13" s="321"/>
      <c r="T13" s="240" t="e">
        <f t="shared" si="3"/>
        <v>#REF!</v>
      </c>
      <c r="U13" s="241">
        <f t="shared" si="4"/>
        <v>0</v>
      </c>
      <c r="V13" s="241">
        <f t="shared" si="6"/>
        <v>0</v>
      </c>
      <c r="W13" s="314" t="str">
        <f>$A$42</f>
        <v>A</v>
      </c>
      <c r="X13" s="321"/>
      <c r="Y13" s="240" t="e">
        <f>#REF!</f>
        <v>#REF!</v>
      </c>
      <c r="Z13" s="240"/>
      <c r="AA13" s="241">
        <f t="shared" si="5"/>
        <v>0</v>
      </c>
      <c r="AB13" s="311"/>
      <c r="AC13" s="311"/>
      <c r="AD13" s="290"/>
    </row>
    <row r="14" spans="1:30" s="291" customFormat="1" ht="15" customHeight="1">
      <c r="A14" s="304"/>
      <c r="B14" s="312" t="e">
        <f>#REF!</f>
        <v>#REF!</v>
      </c>
      <c r="C14" s="322"/>
      <c r="D14" s="240" t="e">
        <f>#REF!</f>
        <v>#REF!</v>
      </c>
      <c r="E14" s="240"/>
      <c r="F14" s="240" t="e">
        <f t="shared" si="0"/>
        <v>#REF!</v>
      </c>
      <c r="G14" s="241">
        <f t="shared" si="7"/>
        <v>0</v>
      </c>
      <c r="H14" s="241">
        <f t="shared" si="1"/>
        <v>0</v>
      </c>
      <c r="I14" s="314" t="str">
        <f>$A$42</f>
        <v>A</v>
      </c>
      <c r="J14" s="240"/>
      <c r="K14" s="240" t="e">
        <f>#REF!</f>
        <v>#REF!</v>
      </c>
      <c r="L14" s="240"/>
      <c r="M14" s="241">
        <f t="shared" si="2"/>
        <v>0</v>
      </c>
      <c r="N14" s="315"/>
      <c r="O14" s="316"/>
      <c r="P14" s="291" t="e">
        <f>#REF!</f>
        <v>#REF!</v>
      </c>
      <c r="Q14" s="313"/>
      <c r="R14" s="240" t="e">
        <f>#REF!</f>
        <v>#REF!</v>
      </c>
      <c r="S14" s="240"/>
      <c r="T14" s="240" t="e">
        <f t="shared" si="3"/>
        <v>#REF!</v>
      </c>
      <c r="U14" s="241">
        <f t="shared" si="4"/>
        <v>0</v>
      </c>
      <c r="V14" s="241">
        <f t="shared" si="6"/>
        <v>0</v>
      </c>
      <c r="W14" s="314" t="str">
        <f>$A$42</f>
        <v>A</v>
      </c>
      <c r="X14" s="240"/>
      <c r="Y14" s="240" t="e">
        <f>#REF!</f>
        <v>#REF!</v>
      </c>
      <c r="Z14" s="323"/>
      <c r="AA14" s="241">
        <f t="shared" si="5"/>
        <v>0</v>
      </c>
      <c r="AB14" s="311"/>
      <c r="AC14" s="311"/>
      <c r="AD14" s="318"/>
    </row>
    <row r="15" spans="1:30" s="291" customFormat="1" ht="15" customHeight="1">
      <c r="A15" s="304"/>
      <c r="B15" s="312" t="e">
        <f>#REF!</f>
        <v>#REF!</v>
      </c>
      <c r="C15" s="322"/>
      <c r="D15" s="240" t="e">
        <f>#REF!</f>
        <v>#REF!</v>
      </c>
      <c r="E15" s="240"/>
      <c r="F15" s="240" t="e">
        <f t="shared" si="0"/>
        <v>#REF!</v>
      </c>
      <c r="G15" s="241">
        <f t="shared" si="7"/>
        <v>0</v>
      </c>
      <c r="H15" s="241">
        <f t="shared" si="1"/>
        <v>0</v>
      </c>
      <c r="I15" s="314" t="str">
        <f>$A$42</f>
        <v>A</v>
      </c>
      <c r="J15" s="240"/>
      <c r="K15" s="240" t="e">
        <f>#REF!</f>
        <v>#REF!</v>
      </c>
      <c r="L15" s="240"/>
      <c r="M15" s="241">
        <f t="shared" si="2"/>
        <v>0</v>
      </c>
      <c r="N15" s="315"/>
      <c r="O15" s="316"/>
      <c r="P15" s="291" t="e">
        <f>#REF!</f>
        <v>#REF!</v>
      </c>
      <c r="Q15" s="320"/>
      <c r="R15" s="240" t="e">
        <f>#REF!</f>
        <v>#REF!</v>
      </c>
      <c r="S15" s="240"/>
      <c r="T15" s="240" t="e">
        <f t="shared" si="3"/>
        <v>#REF!</v>
      </c>
      <c r="U15" s="241">
        <f t="shared" si="4"/>
        <v>0</v>
      </c>
      <c r="V15" s="241">
        <f t="shared" si="6"/>
        <v>0</v>
      </c>
      <c r="W15" s="314" t="str">
        <f>$A$42</f>
        <v>A</v>
      </c>
      <c r="X15" s="240"/>
      <c r="Y15" s="240" t="e">
        <f>#REF!</f>
        <v>#REF!</v>
      </c>
      <c r="AA15" s="241">
        <f t="shared" si="5"/>
        <v>0</v>
      </c>
      <c r="AB15" s="290"/>
      <c r="AC15" s="290"/>
      <c r="AD15" s="290"/>
    </row>
    <row r="16" spans="1:30" s="291" customFormat="1" ht="15">
      <c r="A16" s="304"/>
      <c r="B16" s="312" t="e">
        <f>#REF!</f>
        <v>#REF!</v>
      </c>
      <c r="C16" s="303"/>
      <c r="D16" s="240" t="e">
        <f>#REF!</f>
        <v>#REF!</v>
      </c>
      <c r="E16" s="323"/>
      <c r="F16" s="240" t="e">
        <f t="shared" si="0"/>
        <v>#REF!</v>
      </c>
      <c r="G16" s="241">
        <f t="shared" si="7"/>
        <v>0</v>
      </c>
      <c r="H16" s="241">
        <f t="shared" si="1"/>
        <v>0</v>
      </c>
      <c r="I16" s="314" t="str">
        <f>$A$42</f>
        <v>A</v>
      </c>
      <c r="J16" s="323"/>
      <c r="K16" s="240" t="e">
        <f>#REF!</f>
        <v>#REF!</v>
      </c>
      <c r="L16" s="323"/>
      <c r="M16" s="241">
        <f t="shared" si="2"/>
        <v>0</v>
      </c>
      <c r="O16" s="316"/>
      <c r="P16" s="291" t="e">
        <f>#REF!</f>
        <v>#REF!</v>
      </c>
      <c r="Q16" s="313"/>
      <c r="R16" s="240" t="e">
        <f>#REF!</f>
        <v>#REF!</v>
      </c>
      <c r="S16" s="240"/>
      <c r="T16" s="240" t="e">
        <f t="shared" si="3"/>
        <v>#REF!</v>
      </c>
      <c r="U16" s="241">
        <f t="shared" si="4"/>
        <v>0</v>
      </c>
      <c r="V16" s="241">
        <f t="shared" si="6"/>
        <v>0</v>
      </c>
      <c r="W16" s="314" t="str">
        <f>$A$42</f>
        <v>A</v>
      </c>
      <c r="X16" s="240"/>
      <c r="Y16" s="240" t="e">
        <f>#REF!</f>
        <v>#REF!</v>
      </c>
      <c r="Z16" s="240"/>
      <c r="AA16" s="241">
        <f t="shared" si="5"/>
        <v>0</v>
      </c>
      <c r="AB16" s="324"/>
      <c r="AC16" s="290"/>
      <c r="AD16" s="290"/>
    </row>
    <row r="17" spans="1:30" s="291" customFormat="1" ht="15" customHeight="1">
      <c r="A17" s="304"/>
      <c r="B17" s="312" t="e">
        <f>#REF!</f>
        <v>#REF!</v>
      </c>
      <c r="C17" s="303"/>
      <c r="D17" s="240" t="e">
        <f>#REF!</f>
        <v>#REF!</v>
      </c>
      <c r="F17" s="240" t="e">
        <f t="shared" si="0"/>
        <v>#REF!</v>
      </c>
      <c r="G17" s="241">
        <f t="shared" si="7"/>
        <v>0</v>
      </c>
      <c r="H17" s="241">
        <f t="shared" si="1"/>
        <v>0</v>
      </c>
      <c r="I17" s="314" t="str">
        <f>$A$42</f>
        <v>A</v>
      </c>
      <c r="K17" s="240" t="e">
        <f>#REF!</f>
        <v>#REF!</v>
      </c>
      <c r="M17" s="241">
        <f t="shared" si="2"/>
        <v>0</v>
      </c>
      <c r="N17" s="315"/>
      <c r="O17" s="316"/>
      <c r="P17" s="325"/>
      <c r="Q17" s="320"/>
      <c r="R17" s="326" t="e">
        <f>SUBTOTAL(9,R10:R16)</f>
        <v>#REF!</v>
      </c>
      <c r="S17" s="327"/>
      <c r="X17" s="327"/>
      <c r="Y17" s="326" t="e">
        <f>SUBTOTAL(9,Y10:Y16)</f>
        <v>#REF!</v>
      </c>
      <c r="AB17" s="318"/>
      <c r="AC17" s="290"/>
      <c r="AD17" s="290"/>
    </row>
    <row r="18" spans="1:30" s="291" customFormat="1" ht="15" customHeight="1">
      <c r="A18" s="304"/>
      <c r="C18" s="313"/>
      <c r="D18" s="326" t="e">
        <f>SUBTOTAL(9,D10:D17)</f>
        <v>#REF!</v>
      </c>
      <c r="E18" s="240"/>
      <c r="F18" s="240" t="e">
        <f t="shared" si="0"/>
        <v>#REF!</v>
      </c>
      <c r="G18" s="241">
        <f t="shared" si="7"/>
        <v>0</v>
      </c>
      <c r="H18" s="241">
        <f t="shared" si="1"/>
        <v>0</v>
      </c>
      <c r="I18" s="314"/>
      <c r="J18" s="240"/>
      <c r="K18" s="326" t="e">
        <f>SUBTOTAL(9,K10:K17)</f>
        <v>#REF!</v>
      </c>
      <c r="L18" s="240"/>
      <c r="M18" s="241">
        <f t="shared" si="2"/>
        <v>0</v>
      </c>
      <c r="N18" s="315"/>
      <c r="O18" s="316"/>
      <c r="P18" s="325"/>
      <c r="Q18" s="322"/>
      <c r="R18" s="321"/>
      <c r="S18" s="321"/>
      <c r="X18" s="321"/>
      <c r="Y18" s="290"/>
      <c r="AB18" s="290"/>
      <c r="AC18" s="290"/>
      <c r="AD18" s="290"/>
    </row>
    <row r="19" spans="1:30" s="291" customFormat="1" ht="15" customHeight="1">
      <c r="A19" s="304"/>
      <c r="C19" s="303"/>
      <c r="I19" s="328"/>
      <c r="N19" s="315"/>
      <c r="O19" s="316"/>
      <c r="P19" s="305" t="s">
        <v>165</v>
      </c>
      <c r="Q19" s="320"/>
      <c r="R19" s="321"/>
      <c r="S19" s="321"/>
      <c r="T19" s="240"/>
      <c r="U19" s="240"/>
      <c r="V19" s="240"/>
      <c r="W19" s="240"/>
      <c r="X19" s="321"/>
      <c r="Y19" s="290"/>
      <c r="Z19" s="240"/>
      <c r="AA19" s="240"/>
      <c r="AB19" s="290"/>
      <c r="AC19" s="290"/>
      <c r="AD19" s="290"/>
    </row>
    <row r="20" spans="1:30" s="291" customFormat="1" ht="15" customHeight="1">
      <c r="A20" s="304"/>
      <c r="B20" s="329" t="e">
        <f>#REF!</f>
        <v>#REF!</v>
      </c>
      <c r="C20" s="313"/>
      <c r="D20" s="240"/>
      <c r="E20" s="240"/>
      <c r="F20" s="240"/>
      <c r="G20" s="240"/>
      <c r="H20" s="240"/>
      <c r="I20" s="330"/>
      <c r="J20" s="240"/>
      <c r="K20" s="240"/>
      <c r="L20" s="240"/>
      <c r="M20" s="240"/>
      <c r="N20" s="315"/>
      <c r="O20" s="316"/>
      <c r="P20" s="291" t="e">
        <f>#REF!</f>
        <v>#REF!</v>
      </c>
      <c r="Q20" s="313"/>
      <c r="R20" s="240" t="e">
        <f>#REF!</f>
        <v>#REF!</v>
      </c>
      <c r="S20" s="321"/>
      <c r="T20" s="240" t="e">
        <f>R20-Y20</f>
        <v>#REF!</v>
      </c>
      <c r="U20" s="241">
        <f>IFERROR(T20/Y20,0)</f>
        <v>0</v>
      </c>
      <c r="V20" s="241">
        <f>IFERROR(R20/$D$34,0)</f>
        <v>0</v>
      </c>
      <c r="W20" s="317" t="str">
        <f>$A$54</f>
        <v>G</v>
      </c>
      <c r="X20" s="321"/>
      <c r="Y20" s="240" t="e">
        <f>#REF!</f>
        <v>#REF!</v>
      </c>
      <c r="Z20" s="240"/>
      <c r="AA20" s="241">
        <f>IFERROR(Y20/$Y$34,0)</f>
        <v>0</v>
      </c>
      <c r="AB20" s="290"/>
      <c r="AC20" s="290"/>
      <c r="AD20" s="290"/>
    </row>
    <row r="21" spans="1:30" s="291" customFormat="1" ht="15" customHeight="1">
      <c r="A21" s="304"/>
      <c r="B21" s="312" t="e">
        <f>#REF!</f>
        <v>#REF!</v>
      </c>
      <c r="C21" s="313"/>
      <c r="D21" s="240" t="e">
        <f>#REF!</f>
        <v>#REF!</v>
      </c>
      <c r="E21" s="240"/>
      <c r="F21" s="240" t="e">
        <f t="shared" ref="F21:F27" si="8">D21-K21</f>
        <v>#REF!</v>
      </c>
      <c r="G21" s="241">
        <f t="shared" ref="G21:G27" si="9">IFERROR(F21/K21,0)</f>
        <v>0</v>
      </c>
      <c r="H21" s="241">
        <f t="shared" ref="H21:H27" si="10">IFERROR(D21/$D$34,0)</f>
        <v>0</v>
      </c>
      <c r="I21" s="314" t="str">
        <f>$A$42</f>
        <v>A</v>
      </c>
      <c r="J21" s="240"/>
      <c r="K21" s="240" t="e">
        <f>#REF!</f>
        <v>#REF!</v>
      </c>
      <c r="L21" s="240"/>
      <c r="M21" s="241">
        <f t="shared" ref="M21:M27" si="11">IFERROR(K21/$K$34,0)</f>
        <v>0</v>
      </c>
      <c r="N21" s="315"/>
      <c r="O21" s="316"/>
      <c r="P21" s="291" t="e">
        <f>#REF!</f>
        <v>#REF!</v>
      </c>
      <c r="Q21" s="320"/>
      <c r="R21" s="240" t="e">
        <f>#REF!</f>
        <v>#REF!</v>
      </c>
      <c r="S21" s="321"/>
      <c r="T21" s="240" t="e">
        <f>R21-Y21</f>
        <v>#REF!</v>
      </c>
      <c r="U21" s="241">
        <f>IFERROR(T21/Y21,0)</f>
        <v>0</v>
      </c>
      <c r="V21" s="241">
        <f>IFERROR(R21/$D$34,0)</f>
        <v>0</v>
      </c>
      <c r="W21" s="317" t="str">
        <f>$A$56</f>
        <v>I</v>
      </c>
      <c r="X21" s="321"/>
      <c r="Y21" s="240" t="e">
        <f>#REF!</f>
        <v>#REF!</v>
      </c>
      <c r="Z21" s="240"/>
      <c r="AA21" s="241">
        <f>IFERROR(Y21/$Y$34,0)</f>
        <v>0</v>
      </c>
      <c r="AB21" s="290"/>
      <c r="AC21" s="290"/>
      <c r="AD21" s="290"/>
    </row>
    <row r="22" spans="1:30" s="291" customFormat="1" ht="15" customHeight="1">
      <c r="A22" s="304"/>
      <c r="B22" s="312" t="e">
        <f>#REF!</f>
        <v>#REF!</v>
      </c>
      <c r="C22" s="313"/>
      <c r="D22" s="240" t="e">
        <f>#REF!</f>
        <v>#REF!</v>
      </c>
      <c r="E22" s="240"/>
      <c r="F22" s="240" t="e">
        <f t="shared" si="8"/>
        <v>#REF!</v>
      </c>
      <c r="G22" s="241">
        <f t="shared" si="9"/>
        <v>0</v>
      </c>
      <c r="H22" s="241">
        <f t="shared" si="10"/>
        <v>0</v>
      </c>
      <c r="I22" s="317" t="str">
        <f>$A$48</f>
        <v>D</v>
      </c>
      <c r="J22" s="240"/>
      <c r="K22" s="240" t="e">
        <f>#REF!</f>
        <v>#REF!</v>
      </c>
      <c r="L22" s="240"/>
      <c r="M22" s="241">
        <f t="shared" si="11"/>
        <v>0</v>
      </c>
      <c r="N22" s="315"/>
      <c r="O22" s="316"/>
      <c r="P22" s="291" t="e">
        <f>#REF!</f>
        <v>#REF!</v>
      </c>
      <c r="Q22" s="322"/>
      <c r="R22" s="240" t="e">
        <f>#REF!</f>
        <v>#REF!</v>
      </c>
      <c r="S22" s="240"/>
      <c r="T22" s="240" t="e">
        <f>R22-Y22</f>
        <v>#REF!</v>
      </c>
      <c r="U22" s="241">
        <f>IFERROR(T22/Y22,0)</f>
        <v>0</v>
      </c>
      <c r="V22" s="241">
        <f>IFERROR(R22/$D$34,0)</f>
        <v>0</v>
      </c>
      <c r="W22" s="314" t="str">
        <f>$A$42</f>
        <v>A</v>
      </c>
      <c r="X22" s="240"/>
      <c r="Y22" s="240" t="e">
        <f>#REF!</f>
        <v>#REF!</v>
      </c>
      <c r="Z22" s="240"/>
      <c r="AA22" s="241">
        <f>IFERROR(Y22/$Y$34,0)</f>
        <v>0</v>
      </c>
      <c r="AB22" s="290"/>
      <c r="AC22" s="290"/>
      <c r="AD22" s="290"/>
    </row>
    <row r="23" spans="1:30" s="291" customFormat="1" ht="15" customHeight="1">
      <c r="A23" s="304"/>
      <c r="B23" s="312" t="e">
        <f>#REF!</f>
        <v>#REF!</v>
      </c>
      <c r="C23" s="313"/>
      <c r="D23" s="240" t="e">
        <f>#REF!</f>
        <v>#REF!</v>
      </c>
      <c r="E23" s="240"/>
      <c r="F23" s="240" t="e">
        <f t="shared" si="8"/>
        <v>#REF!</v>
      </c>
      <c r="G23" s="241">
        <f t="shared" si="9"/>
        <v>0</v>
      </c>
      <c r="H23" s="241">
        <f t="shared" si="10"/>
        <v>0</v>
      </c>
      <c r="I23" s="314" t="str">
        <f>$A$42</f>
        <v>A</v>
      </c>
      <c r="J23" s="240"/>
      <c r="K23" s="240" t="e">
        <f>#REF!</f>
        <v>#REF!</v>
      </c>
      <c r="L23" s="240"/>
      <c r="M23" s="241">
        <f t="shared" si="11"/>
        <v>0</v>
      </c>
      <c r="N23" s="315"/>
      <c r="O23" s="316"/>
      <c r="P23" s="291" t="e">
        <f>#REF!</f>
        <v>#REF!</v>
      </c>
      <c r="Q23" s="320"/>
      <c r="R23" s="240" t="e">
        <f>#REF!</f>
        <v>#REF!</v>
      </c>
      <c r="S23" s="321"/>
      <c r="T23" s="240" t="e">
        <f>R23-Y23</f>
        <v>#REF!</v>
      </c>
      <c r="U23" s="241">
        <f>IFERROR(T23/Y23,0)</f>
        <v>0</v>
      </c>
      <c r="V23" s="241">
        <f>IFERROR(R23/$D$34,0)</f>
        <v>0</v>
      </c>
      <c r="W23" s="314" t="str">
        <f>$A$42</f>
        <v>A</v>
      </c>
      <c r="X23" s="321"/>
      <c r="Y23" s="240" t="e">
        <f>#REF!</f>
        <v>#REF!</v>
      </c>
      <c r="Z23" s="323"/>
      <c r="AA23" s="241">
        <f>IFERROR(Y23/$Y$34,0)</f>
        <v>0</v>
      </c>
      <c r="AB23" s="290"/>
      <c r="AC23" s="290"/>
      <c r="AD23" s="290"/>
    </row>
    <row r="24" spans="1:30" s="291" customFormat="1" ht="15" customHeight="1">
      <c r="A24" s="304"/>
      <c r="B24" s="312" t="e">
        <f>#REF!</f>
        <v>#REF!</v>
      </c>
      <c r="C24" s="303"/>
      <c r="D24" s="240" t="e">
        <f>#REF!</f>
        <v>#REF!</v>
      </c>
      <c r="E24" s="323"/>
      <c r="F24" s="240" t="e">
        <f t="shared" si="8"/>
        <v>#REF!</v>
      </c>
      <c r="G24" s="241">
        <f t="shared" si="9"/>
        <v>0</v>
      </c>
      <c r="H24" s="241">
        <f t="shared" si="10"/>
        <v>0</v>
      </c>
      <c r="I24" s="314" t="str">
        <f>$A$50</f>
        <v>E</v>
      </c>
      <c r="J24" s="323"/>
      <c r="K24" s="240" t="e">
        <f>#REF!</f>
        <v>#REF!</v>
      </c>
      <c r="L24" s="323"/>
      <c r="M24" s="241">
        <f t="shared" si="11"/>
        <v>0</v>
      </c>
      <c r="N24" s="315"/>
      <c r="O24" s="316"/>
      <c r="P24" s="331"/>
      <c r="Q24" s="303"/>
      <c r="R24" s="326" t="e">
        <f>SUBTOTAL(9,R20:R23)</f>
        <v>#REF!</v>
      </c>
      <c r="T24" s="240" t="e">
        <f>R24-Y24</f>
        <v>#REF!</v>
      </c>
      <c r="U24" s="241">
        <f>IFERROR(T24/Y24,0)</f>
        <v>0</v>
      </c>
      <c r="V24" s="241">
        <f>IFERROR(R24/$D$34,0)</f>
        <v>0</v>
      </c>
      <c r="W24" s="332"/>
      <c r="Y24" s="326" t="e">
        <f>SUBTOTAL(9,Y20:Y23)</f>
        <v>#REF!</v>
      </c>
      <c r="Z24" s="323"/>
      <c r="AA24" s="241">
        <f>IFERROR(Y24/$Y$34,0)</f>
        <v>0</v>
      </c>
      <c r="AB24" s="290"/>
      <c r="AC24" s="290"/>
      <c r="AD24" s="290"/>
    </row>
    <row r="25" spans="1:30" s="291" customFormat="1" ht="15" customHeight="1">
      <c r="A25" s="304"/>
      <c r="B25" s="312" t="e">
        <f>#REF!</f>
        <v>#REF!</v>
      </c>
      <c r="C25" s="303"/>
      <c r="D25" s="240" t="e">
        <f>#REF!</f>
        <v>#REF!</v>
      </c>
      <c r="E25" s="323"/>
      <c r="F25" s="240" t="e">
        <f t="shared" si="8"/>
        <v>#REF!</v>
      </c>
      <c r="G25" s="241">
        <f t="shared" si="9"/>
        <v>0</v>
      </c>
      <c r="H25" s="241">
        <f t="shared" si="10"/>
        <v>0</v>
      </c>
      <c r="I25" s="314" t="str">
        <f>$A$42</f>
        <v>A</v>
      </c>
      <c r="J25" s="323"/>
      <c r="K25" s="240" t="e">
        <f>#REF!</f>
        <v>#REF!</v>
      </c>
      <c r="L25" s="323"/>
      <c r="M25" s="241">
        <f t="shared" si="11"/>
        <v>0</v>
      </c>
      <c r="N25" s="315"/>
      <c r="O25" s="316"/>
      <c r="P25" s="290"/>
      <c r="Q25" s="320"/>
      <c r="R25" s="321"/>
      <c r="S25" s="327"/>
      <c r="T25" s="240"/>
      <c r="U25" s="241"/>
      <c r="V25" s="241"/>
      <c r="W25" s="332"/>
      <c r="X25" s="327"/>
      <c r="Y25" s="321"/>
      <c r="Z25" s="323"/>
      <c r="AA25" s="241"/>
      <c r="AB25" s="290"/>
      <c r="AC25" s="290"/>
      <c r="AD25" s="290"/>
    </row>
    <row r="26" spans="1:30" s="291" customFormat="1" ht="15" customHeight="1">
      <c r="A26" s="304"/>
      <c r="B26" s="312" t="e">
        <f>#REF!</f>
        <v>#REF!</v>
      </c>
      <c r="C26" s="303"/>
      <c r="D26" s="240" t="e">
        <f>#REF!</f>
        <v>#REF!</v>
      </c>
      <c r="E26" s="323"/>
      <c r="F26" s="240" t="e">
        <f t="shared" si="8"/>
        <v>#REF!</v>
      </c>
      <c r="G26" s="241">
        <f t="shared" si="9"/>
        <v>0</v>
      </c>
      <c r="H26" s="241">
        <f t="shared" si="10"/>
        <v>0</v>
      </c>
      <c r="I26" s="314" t="str">
        <f>$A$42</f>
        <v>A</v>
      </c>
      <c r="J26" s="323"/>
      <c r="K26" s="240" t="e">
        <f>#REF!</f>
        <v>#REF!</v>
      </c>
      <c r="L26" s="323"/>
      <c r="M26" s="241">
        <f t="shared" si="11"/>
        <v>0</v>
      </c>
      <c r="N26" s="315"/>
      <c r="O26" s="316"/>
      <c r="P26" s="305" t="s">
        <v>1020</v>
      </c>
      <c r="Q26" s="313"/>
      <c r="R26" s="240"/>
      <c r="S26" s="240"/>
      <c r="T26" s="240"/>
      <c r="U26" s="241"/>
      <c r="V26" s="241"/>
      <c r="W26" s="332"/>
      <c r="X26" s="240"/>
      <c r="Y26" s="240"/>
      <c r="Z26" s="323"/>
      <c r="AA26" s="241"/>
      <c r="AB26" s="290"/>
      <c r="AC26" s="290"/>
      <c r="AD26" s="290"/>
    </row>
    <row r="27" spans="1:30" s="291" customFormat="1" ht="15" customHeight="1">
      <c r="A27" s="304"/>
      <c r="C27" s="303"/>
      <c r="D27" s="326" t="e">
        <f>SUBTOTAL(9,D21:D26)</f>
        <v>#REF!</v>
      </c>
      <c r="E27" s="323"/>
      <c r="F27" s="240" t="e">
        <f t="shared" si="8"/>
        <v>#REF!</v>
      </c>
      <c r="G27" s="241">
        <f t="shared" si="9"/>
        <v>0</v>
      </c>
      <c r="H27" s="241">
        <f t="shared" si="10"/>
        <v>0</v>
      </c>
      <c r="I27" s="332"/>
      <c r="J27" s="323"/>
      <c r="K27" s="326" t="e">
        <f>SUBTOTAL(9,K21:K26)</f>
        <v>#REF!</v>
      </c>
      <c r="L27" s="323"/>
      <c r="M27" s="241">
        <f t="shared" si="11"/>
        <v>0</v>
      </c>
      <c r="N27" s="333"/>
      <c r="O27" s="316"/>
      <c r="P27" s="291" t="e">
        <f>#REF!</f>
        <v>#REF!</v>
      </c>
      <c r="Q27" s="313"/>
      <c r="R27" s="240" t="e">
        <f>#REF!</f>
        <v>#REF!</v>
      </c>
      <c r="S27" s="321"/>
      <c r="T27" s="240" t="e">
        <f>R27-Y27</f>
        <v>#REF!</v>
      </c>
      <c r="U27" s="241">
        <f>IFERROR(T27/Y27,0)</f>
        <v>0</v>
      </c>
      <c r="V27" s="241">
        <f>IFERROR(R27/$D$34,0)</f>
        <v>0</v>
      </c>
      <c r="W27" s="314" t="str">
        <f>$A$42</f>
        <v>A</v>
      </c>
      <c r="X27" s="321"/>
      <c r="Y27" s="240" t="e">
        <f>#REF!</f>
        <v>#REF!</v>
      </c>
      <c r="AA27" s="241">
        <f>IFERROR(Y27/$Y$34,0)</f>
        <v>0</v>
      </c>
      <c r="AB27" s="290"/>
      <c r="AC27" s="290"/>
      <c r="AD27" s="290"/>
    </row>
    <row r="28" spans="1:30" s="291" customFormat="1" ht="15" customHeight="1">
      <c r="A28" s="304"/>
      <c r="C28" s="303"/>
      <c r="D28" s="327"/>
      <c r="E28" s="323"/>
      <c r="F28" s="323"/>
      <c r="G28" s="323"/>
      <c r="H28" s="323"/>
      <c r="I28" s="323"/>
      <c r="J28" s="323"/>
      <c r="K28" s="327"/>
      <c r="L28" s="323"/>
      <c r="M28" s="323"/>
      <c r="N28" s="333"/>
      <c r="O28" s="316"/>
      <c r="P28" s="291" t="e">
        <f>#REF!</f>
        <v>#REF!</v>
      </c>
      <c r="Q28" s="313"/>
      <c r="R28" s="240" t="e">
        <f>#REF!</f>
        <v>#REF!</v>
      </c>
      <c r="S28" s="321"/>
      <c r="T28" s="240" t="e">
        <f>R28-Y28</f>
        <v>#REF!</v>
      </c>
      <c r="U28" s="241">
        <f>IFERROR(T28/Y28,0)</f>
        <v>0</v>
      </c>
      <c r="V28" s="241">
        <f>IFERROR(R28/$D$34,0)</f>
        <v>0</v>
      </c>
      <c r="W28" s="314" t="str">
        <f>$A$42</f>
        <v>A</v>
      </c>
      <c r="X28" s="321"/>
      <c r="Y28" s="240" t="e">
        <f>#REF!</f>
        <v>#REF!</v>
      </c>
      <c r="Z28" s="323"/>
      <c r="AA28" s="241">
        <f>IFERROR(Y28/$Y$34,0)</f>
        <v>0</v>
      </c>
      <c r="AB28" s="290"/>
      <c r="AC28" s="290"/>
      <c r="AD28" s="290"/>
    </row>
    <row r="29" spans="1:30" s="291" customFormat="1" ht="15" customHeight="1">
      <c r="A29" s="304"/>
      <c r="C29" s="303"/>
      <c r="D29" s="327"/>
      <c r="E29" s="323"/>
      <c r="F29" s="323"/>
      <c r="G29" s="323"/>
      <c r="H29" s="323"/>
      <c r="I29" s="323"/>
      <c r="J29" s="323"/>
      <c r="K29" s="327"/>
      <c r="L29" s="323"/>
      <c r="M29" s="323"/>
      <c r="N29" s="333"/>
      <c r="O29" s="316"/>
      <c r="P29" s="291" t="e">
        <f>#REF!</f>
        <v>#REF!</v>
      </c>
      <c r="Q29" s="313"/>
      <c r="R29" s="240" t="e">
        <f>#REF!</f>
        <v>#REF!</v>
      </c>
      <c r="S29" s="321"/>
      <c r="T29" s="240" t="e">
        <f>R29-Y29</f>
        <v>#REF!</v>
      </c>
      <c r="U29" s="241">
        <f>IFERROR(T29/Y29,0)</f>
        <v>0</v>
      </c>
      <c r="V29" s="241">
        <f>IFERROR(R29/$D$34,0)</f>
        <v>0</v>
      </c>
      <c r="W29" s="314" t="str">
        <f>$A$42</f>
        <v>A</v>
      </c>
      <c r="X29" s="321"/>
      <c r="Y29" s="240" t="e">
        <f>#REF!</f>
        <v>#REF!</v>
      </c>
      <c r="Z29" s="323"/>
      <c r="AA29" s="241">
        <f>IFERROR(Y29/$Y$34,0)</f>
        <v>0</v>
      </c>
      <c r="AB29" s="290"/>
      <c r="AC29" s="290"/>
      <c r="AD29" s="290"/>
    </row>
    <row r="30" spans="1:30" s="291" customFormat="1" ht="15" customHeight="1">
      <c r="A30" s="304"/>
      <c r="C30" s="303"/>
      <c r="N30" s="333"/>
      <c r="O30" s="316"/>
      <c r="P30" s="291" t="e">
        <f>#REF!</f>
        <v>#REF!</v>
      </c>
      <c r="Q30" s="313"/>
      <c r="R30" s="240" t="e">
        <f>#REF!</f>
        <v>#REF!</v>
      </c>
      <c r="S30" s="240"/>
      <c r="T30" s="240" t="e">
        <f>R30-Y30</f>
        <v>#REF!</v>
      </c>
      <c r="U30" s="241">
        <f>IFERROR(T30/Y30,0)</f>
        <v>0</v>
      </c>
      <c r="V30" s="241">
        <f>IFERROR(R30/$D$34,0)</f>
        <v>0</v>
      </c>
      <c r="W30" s="314" t="str">
        <f>$A$42</f>
        <v>A</v>
      </c>
      <c r="X30" s="240"/>
      <c r="Y30" s="240" t="e">
        <f>#REF!</f>
        <v>#REF!</v>
      </c>
      <c r="AA30" s="241">
        <f>IFERROR(Y30/$Y$34,0)</f>
        <v>0</v>
      </c>
      <c r="AB30" s="290"/>
      <c r="AC30" s="290"/>
      <c r="AD30" s="290"/>
    </row>
    <row r="31" spans="1:30" s="291" customFormat="1" ht="15" customHeight="1">
      <c r="A31" s="304"/>
      <c r="C31" s="303"/>
      <c r="N31" s="333"/>
      <c r="O31" s="316"/>
      <c r="P31" s="290"/>
      <c r="Q31" s="313"/>
      <c r="R31" s="326" t="e">
        <f>SUBTOTAL(9,R27:R30)</f>
        <v>#REF!</v>
      </c>
      <c r="S31" s="327"/>
      <c r="T31" s="240" t="e">
        <f>R31-Y31</f>
        <v>#REF!</v>
      </c>
      <c r="U31" s="241">
        <f>IFERROR(T31/Y31,0)</f>
        <v>0</v>
      </c>
      <c r="V31" s="241">
        <f>IFERROR(R31/$D$34,0)</f>
        <v>0</v>
      </c>
      <c r="W31" s="314"/>
      <c r="X31" s="327"/>
      <c r="Y31" s="326" t="e">
        <f>SUBTOTAL(9,Y27:Y30)</f>
        <v>#REF!</v>
      </c>
      <c r="AA31" s="241">
        <f>IFERROR(Y31/$Y$34,0)</f>
        <v>0</v>
      </c>
      <c r="AB31" s="290"/>
      <c r="AC31" s="290"/>
      <c r="AD31" s="290"/>
    </row>
    <row r="32" spans="1:30" s="291" customFormat="1" ht="15" customHeight="1">
      <c r="A32" s="304"/>
      <c r="B32" s="307"/>
      <c r="C32" s="31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33"/>
      <c r="O32" s="316"/>
      <c r="P32" s="325"/>
      <c r="Q32" s="322"/>
      <c r="R32" s="321"/>
      <c r="S32" s="321"/>
      <c r="T32" s="323"/>
      <c r="U32" s="323"/>
      <c r="V32" s="323"/>
      <c r="W32" s="323"/>
      <c r="X32" s="321"/>
      <c r="Y32" s="290"/>
      <c r="Z32" s="323"/>
      <c r="AA32" s="323"/>
      <c r="AB32" s="311"/>
      <c r="AC32" s="290"/>
      <c r="AD32" s="290"/>
    </row>
    <row r="33" spans="1:30" s="291" customFormat="1" ht="15" customHeight="1">
      <c r="A33" s="304"/>
      <c r="B33" s="307"/>
      <c r="C33" s="31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33"/>
      <c r="O33" s="316"/>
      <c r="Q33" s="320"/>
      <c r="R33" s="321"/>
      <c r="S33" s="321"/>
      <c r="T33" s="323"/>
      <c r="U33" s="323"/>
      <c r="V33" s="323"/>
      <c r="W33" s="323"/>
      <c r="X33" s="321"/>
      <c r="Y33" s="290"/>
      <c r="Z33" s="323"/>
      <c r="AA33" s="323"/>
      <c r="AB33" s="311"/>
      <c r="AC33" s="290"/>
      <c r="AD33" s="290"/>
    </row>
    <row r="34" spans="1:30" s="291" customFormat="1" ht="15" customHeight="1">
      <c r="A34" s="304"/>
      <c r="B34" s="334" t="s">
        <v>1021</v>
      </c>
      <c r="C34" s="322"/>
      <c r="D34" s="335" t="e">
        <f>SUBTOTAL(9,D10:D33)</f>
        <v>#REF!</v>
      </c>
      <c r="E34" s="336"/>
      <c r="F34" s="240" t="e">
        <f>D34-K34</f>
        <v>#REF!</v>
      </c>
      <c r="G34" s="241">
        <f>IFERROR(F34/K34,0)</f>
        <v>0</v>
      </c>
      <c r="H34" s="241">
        <f>IFERROR(D34/$D$34,0)</f>
        <v>0</v>
      </c>
      <c r="I34" s="332"/>
      <c r="J34" s="336"/>
      <c r="K34" s="335" t="e">
        <f>SUBTOTAL(9,K10:K33)</f>
        <v>#REF!</v>
      </c>
      <c r="L34" s="336"/>
      <c r="M34" s="241">
        <f>IFERROR(K34/$K$34,0)</f>
        <v>0</v>
      </c>
      <c r="N34" s="315"/>
      <c r="O34" s="316"/>
      <c r="P34" s="334" t="s">
        <v>1022</v>
      </c>
      <c r="Q34" s="337"/>
      <c r="R34" s="338" t="e">
        <f>SUBTOTAL(9,R10:R33)</f>
        <v>#REF!</v>
      </c>
      <c r="S34" s="339"/>
      <c r="T34" s="240" t="e">
        <f>R34-Y34</f>
        <v>#REF!</v>
      </c>
      <c r="U34" s="241">
        <f>IFERROR(T34/Y34,0)</f>
        <v>0</v>
      </c>
      <c r="V34" s="241">
        <f>IFERROR(R34/$D$34,0)</f>
        <v>0</v>
      </c>
      <c r="W34" s="332"/>
      <c r="X34" s="339"/>
      <c r="Y34" s="338" t="e">
        <f>SUBTOTAL(9,Y10:Y33)</f>
        <v>#REF!</v>
      </c>
      <c r="Z34" s="336"/>
      <c r="AA34" s="241">
        <f>IFERROR(Y34/$Y$34,0)</f>
        <v>0</v>
      </c>
      <c r="AB34" s="311"/>
      <c r="AC34" s="290"/>
      <c r="AD34" s="290"/>
    </row>
    <row r="35" spans="1:30" s="291" customFormat="1" ht="15" customHeight="1">
      <c r="A35" s="304"/>
      <c r="B35" s="334"/>
      <c r="C35" s="322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40"/>
      <c r="O35" s="340"/>
      <c r="P35" s="340"/>
      <c r="Q35" s="340"/>
      <c r="R35" s="340"/>
      <c r="S35" s="340"/>
      <c r="T35" s="336"/>
      <c r="U35" s="336"/>
      <c r="V35" s="336"/>
      <c r="W35" s="336"/>
      <c r="X35" s="340"/>
      <c r="Y35" s="340"/>
      <c r="Z35" s="336"/>
      <c r="AA35" s="336"/>
      <c r="AB35" s="311"/>
      <c r="AC35" s="290"/>
      <c r="AD35" s="290"/>
    </row>
    <row r="36" spans="1:30" s="291" customFormat="1" ht="15" hidden="1" customHeight="1">
      <c r="A36" s="304"/>
      <c r="C36" s="341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3"/>
      <c r="O36" s="343"/>
      <c r="Q36" s="341"/>
      <c r="R36" s="324"/>
      <c r="S36" s="324"/>
      <c r="T36" s="342"/>
      <c r="U36" s="342"/>
      <c r="V36" s="342"/>
      <c r="W36" s="342"/>
      <c r="X36" s="324"/>
      <c r="Y36" s="324"/>
      <c r="Z36" s="342"/>
      <c r="AA36" s="342"/>
      <c r="AB36" s="311"/>
      <c r="AC36" s="290"/>
      <c r="AD36" s="290"/>
    </row>
    <row r="37" spans="1:30" s="291" customFormat="1" ht="15" customHeight="1">
      <c r="A37" s="304"/>
      <c r="B37" s="344" t="s">
        <v>1023</v>
      </c>
      <c r="C37" s="345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7"/>
      <c r="O37" s="347"/>
      <c r="P37" s="348"/>
      <c r="Q37" s="345"/>
      <c r="R37" s="349"/>
      <c r="S37" s="349"/>
      <c r="T37" s="346"/>
      <c r="U37" s="346"/>
      <c r="V37" s="346"/>
      <c r="W37" s="346"/>
      <c r="X37" s="349"/>
      <c r="Y37" s="349"/>
      <c r="Z37" s="346"/>
      <c r="AA37" s="346"/>
      <c r="AB37" s="311"/>
      <c r="AC37" s="290"/>
      <c r="AD37" s="290"/>
    </row>
    <row r="38" spans="1:30" s="291" customFormat="1" ht="15" customHeight="1">
      <c r="A38" s="304"/>
      <c r="C38" s="341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3"/>
      <c r="O38" s="343"/>
      <c r="Q38" s="341"/>
      <c r="R38" s="324"/>
      <c r="S38" s="324"/>
      <c r="T38" s="342"/>
      <c r="U38" s="342"/>
      <c r="V38" s="342"/>
      <c r="W38" s="342"/>
      <c r="X38" s="324"/>
      <c r="Y38" s="324"/>
      <c r="Z38" s="342"/>
      <c r="AA38" s="342"/>
      <c r="AB38" s="311"/>
      <c r="AC38" s="290"/>
      <c r="AD38" s="290"/>
    </row>
    <row r="39" spans="1:30" s="291" customFormat="1" ht="15" customHeight="1">
      <c r="A39" s="304"/>
      <c r="B39" s="304"/>
      <c r="C39" s="350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04"/>
      <c r="O39" s="304"/>
      <c r="Q39" s="341"/>
      <c r="R39" s="311"/>
      <c r="S39" s="311"/>
      <c r="T39" s="351"/>
      <c r="U39" s="351"/>
      <c r="V39" s="351"/>
      <c r="W39" s="351"/>
      <c r="X39" s="311"/>
      <c r="Y39" s="324"/>
      <c r="Z39" s="351"/>
      <c r="AA39" s="351"/>
      <c r="AB39" s="311"/>
      <c r="AC39" s="290"/>
      <c r="AD39" s="290"/>
    </row>
    <row r="40" spans="1:30" s="291" customFormat="1" ht="30">
      <c r="A40" s="304"/>
      <c r="B40" s="352" t="s">
        <v>1024</v>
      </c>
      <c r="C40" s="350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04"/>
      <c r="O40" s="304"/>
      <c r="Q40" s="341"/>
      <c r="R40" s="324"/>
      <c r="S40" s="324"/>
      <c r="T40" s="351"/>
      <c r="U40" s="351"/>
      <c r="V40" s="351"/>
      <c r="W40" s="351"/>
      <c r="X40" s="324"/>
      <c r="Y40" s="353" t="s">
        <v>1025</v>
      </c>
      <c r="Z40" s="351"/>
      <c r="AA40" s="354" t="s">
        <v>1026</v>
      </c>
      <c r="AB40" s="311"/>
      <c r="AC40" s="290"/>
      <c r="AD40" s="290"/>
    </row>
    <row r="41" spans="1:30" s="291" customFormat="1" ht="15">
      <c r="A41" s="304"/>
      <c r="B41" s="304"/>
      <c r="C41" s="350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04"/>
      <c r="O41" s="304"/>
      <c r="Q41" s="341"/>
      <c r="R41" s="324"/>
      <c r="S41" s="324"/>
      <c r="T41" s="351"/>
      <c r="U41" s="351"/>
      <c r="V41" s="351"/>
      <c r="W41" s="351"/>
      <c r="X41" s="324"/>
      <c r="Y41" s="324"/>
      <c r="Z41" s="351"/>
      <c r="AA41" s="351"/>
      <c r="AB41" s="311"/>
      <c r="AC41" s="290"/>
      <c r="AD41" s="290"/>
    </row>
    <row r="42" spans="1:30" s="291" customFormat="1" ht="30" customHeight="1">
      <c r="A42" s="355" t="s">
        <v>140</v>
      </c>
      <c r="B42" s="2" t="s">
        <v>1027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51"/>
      <c r="Y42" s="351"/>
      <c r="Z42" s="351"/>
      <c r="AA42" s="356" t="s">
        <v>1028</v>
      </c>
      <c r="AB42" s="311"/>
      <c r="AC42" s="290"/>
      <c r="AD42" s="290"/>
    </row>
    <row r="43" spans="1:30" s="291" customFormat="1" ht="15">
      <c r="A43" s="357"/>
      <c r="C43" s="358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283"/>
      <c r="O43" s="283"/>
      <c r="Q43" s="341"/>
      <c r="R43" s="324"/>
      <c r="S43" s="324"/>
      <c r="T43" s="359"/>
      <c r="U43" s="359"/>
      <c r="V43" s="359"/>
      <c r="W43" s="359"/>
      <c r="X43" s="324"/>
      <c r="Y43" s="324"/>
      <c r="Z43" s="359"/>
      <c r="AA43" s="359"/>
      <c r="AB43" s="360"/>
      <c r="AC43" s="290"/>
      <c r="AD43" s="290"/>
    </row>
    <row r="44" spans="1:30" s="291" customFormat="1" ht="87.75" customHeight="1">
      <c r="A44" s="355" t="s">
        <v>161</v>
      </c>
      <c r="B44" s="2" t="s">
        <v>1029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24"/>
      <c r="Y44" s="324"/>
      <c r="Z44" s="361"/>
      <c r="AA44" s="356" t="s">
        <v>1028</v>
      </c>
      <c r="AB44" s="311"/>
      <c r="AC44" s="290"/>
      <c r="AD44" s="290"/>
    </row>
    <row r="45" spans="1:30" s="291" customFormat="1" ht="15">
      <c r="A45" s="362"/>
      <c r="C45" s="341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Q45" s="341"/>
      <c r="R45" s="324"/>
      <c r="S45" s="324"/>
      <c r="T45" s="342"/>
      <c r="U45" s="342"/>
      <c r="V45" s="342"/>
      <c r="W45" s="342"/>
      <c r="X45" s="324"/>
      <c r="Y45" s="324"/>
      <c r="Z45" s="342"/>
      <c r="AA45" s="342"/>
      <c r="AB45" s="290"/>
      <c r="AC45" s="290"/>
      <c r="AD45" s="290"/>
    </row>
    <row r="46" spans="1:30" s="363" customFormat="1" ht="30" customHeight="1">
      <c r="A46" s="355" t="s">
        <v>172</v>
      </c>
      <c r="B46" s="2" t="s">
        <v>1030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39"/>
      <c r="Y46" s="339"/>
      <c r="Z46" s="342"/>
      <c r="AA46" s="356" t="s">
        <v>1028</v>
      </c>
      <c r="AB46" s="321"/>
      <c r="AC46" s="321"/>
      <c r="AD46" s="321"/>
    </row>
    <row r="47" spans="1:30" s="291" customFormat="1" ht="15">
      <c r="A47" s="362"/>
      <c r="C47" s="341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Q47" s="337"/>
      <c r="R47" s="339"/>
      <c r="S47" s="339"/>
      <c r="T47" s="342"/>
      <c r="U47" s="342"/>
      <c r="V47" s="342"/>
      <c r="W47" s="342"/>
      <c r="X47" s="339"/>
      <c r="Y47" s="290"/>
      <c r="Z47" s="342"/>
      <c r="AA47" s="342"/>
      <c r="AB47" s="290"/>
      <c r="AC47" s="290"/>
      <c r="AD47" s="290"/>
    </row>
    <row r="48" spans="1:30" s="291" customFormat="1" ht="30">
      <c r="A48" s="355" t="s">
        <v>216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64"/>
      <c r="Y48" s="290"/>
      <c r="Z48" s="342"/>
      <c r="AA48" s="356" t="s">
        <v>1028</v>
      </c>
      <c r="AB48" s="290"/>
      <c r="AC48" s="290"/>
      <c r="AD48" s="290"/>
    </row>
    <row r="49" spans="1:30" s="291" customFormat="1" ht="15">
      <c r="A49" s="362"/>
      <c r="C49" s="341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Q49" s="337"/>
      <c r="R49" s="339"/>
      <c r="S49" s="339"/>
      <c r="T49" s="342"/>
      <c r="U49" s="342"/>
      <c r="V49" s="342"/>
      <c r="W49" s="342"/>
      <c r="X49" s="339"/>
      <c r="Y49" s="290"/>
      <c r="Z49" s="342"/>
      <c r="AA49" s="342"/>
      <c r="AB49" s="290"/>
      <c r="AC49" s="290"/>
      <c r="AD49" s="290"/>
    </row>
    <row r="50" spans="1:30" s="291" customFormat="1" ht="30" customHeight="1">
      <c r="A50" s="355" t="s">
        <v>252</v>
      </c>
      <c r="B50" s="2" t="s">
        <v>1031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64"/>
      <c r="Y50" s="290"/>
      <c r="Z50" s="342"/>
      <c r="AA50" s="356" t="s">
        <v>1028</v>
      </c>
      <c r="AB50" s="290"/>
      <c r="AC50" s="290"/>
      <c r="AD50" s="290"/>
    </row>
    <row r="51" spans="1:30" s="291" customFormat="1" ht="15">
      <c r="A51" s="362"/>
      <c r="C51" s="341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Q51" s="337"/>
      <c r="R51" s="339"/>
      <c r="S51" s="339"/>
      <c r="T51" s="342"/>
      <c r="U51" s="342"/>
      <c r="V51" s="342"/>
      <c r="W51" s="342"/>
      <c r="X51" s="339"/>
      <c r="Y51" s="290"/>
      <c r="Z51" s="342"/>
      <c r="AA51" s="342"/>
      <c r="AB51" s="290"/>
      <c r="AC51" s="290"/>
      <c r="AD51" s="290"/>
    </row>
    <row r="52" spans="1:30" s="291" customFormat="1" ht="36.75" customHeight="1">
      <c r="A52" s="355" t="s">
        <v>221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65"/>
      <c r="Y52" s="290"/>
      <c r="AA52" s="356" t="s">
        <v>1028</v>
      </c>
      <c r="AB52" s="290"/>
      <c r="AC52" s="290"/>
      <c r="AD52" s="290"/>
    </row>
    <row r="53" spans="1:30" s="291" customFormat="1" ht="18">
      <c r="A53" s="362"/>
      <c r="C53" s="303"/>
      <c r="P53" s="366"/>
      <c r="Q53" s="367"/>
      <c r="R53" s="365"/>
      <c r="S53" s="365"/>
      <c r="X53" s="365"/>
      <c r="Y53" s="290"/>
      <c r="AB53" s="290"/>
      <c r="AC53" s="290"/>
      <c r="AD53" s="290"/>
    </row>
    <row r="54" spans="1:30" s="291" customFormat="1" ht="30">
      <c r="A54" s="355" t="s">
        <v>263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64"/>
      <c r="Y54" s="290"/>
      <c r="Z54" s="342"/>
      <c r="AA54" s="356" t="s">
        <v>1028</v>
      </c>
      <c r="AB54" s="290"/>
      <c r="AC54" s="290"/>
      <c r="AD54" s="290"/>
    </row>
    <row r="55" spans="1:30" ht="18">
      <c r="P55" s="368"/>
      <c r="Q55" s="369"/>
      <c r="R55" s="370"/>
      <c r="S55" s="370"/>
      <c r="X55" s="370"/>
    </row>
    <row r="56" spans="1:30" s="291" customFormat="1" ht="30">
      <c r="A56" s="355" t="s">
        <v>1032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64"/>
      <c r="Y56" s="290"/>
      <c r="Z56" s="342"/>
      <c r="AA56" s="356" t="s">
        <v>1028</v>
      </c>
      <c r="AB56" s="290"/>
      <c r="AC56" s="290"/>
      <c r="AD56" s="290"/>
    </row>
    <row r="57" spans="1:30" ht="18">
      <c r="P57" s="368"/>
      <c r="Q57" s="369"/>
      <c r="R57" s="370"/>
      <c r="S57" s="370"/>
      <c r="X57" s="370"/>
    </row>
    <row r="58" spans="1:30" s="291" customFormat="1" ht="18">
      <c r="A58" s="355" t="s">
        <v>1033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64"/>
      <c r="Y58" s="290"/>
      <c r="Z58" s="342"/>
      <c r="AA58" s="342"/>
      <c r="AB58" s="290"/>
      <c r="AC58" s="290"/>
      <c r="AD58" s="290"/>
    </row>
    <row r="59" spans="1:30" ht="18">
      <c r="P59" s="368"/>
      <c r="Q59" s="369"/>
      <c r="R59" s="370"/>
      <c r="S59" s="370"/>
      <c r="X59" s="370"/>
    </row>
    <row r="60" spans="1:30" s="291" customFormat="1" ht="18">
      <c r="A60" s="355" t="s">
        <v>290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64"/>
      <c r="Y60" s="290"/>
      <c r="Z60" s="342"/>
      <c r="AA60" s="342"/>
      <c r="AB60" s="290"/>
      <c r="AC60" s="290"/>
      <c r="AD60" s="290"/>
    </row>
    <row r="61" spans="1:30" ht="18">
      <c r="P61" s="368"/>
      <c r="Q61" s="369"/>
      <c r="R61" s="370"/>
      <c r="S61" s="370"/>
      <c r="X61" s="370"/>
    </row>
    <row r="62" spans="1:30" ht="18">
      <c r="P62" s="368"/>
      <c r="Q62" s="369"/>
      <c r="R62" s="370"/>
      <c r="S62" s="370"/>
      <c r="X62" s="370"/>
    </row>
    <row r="63" spans="1:30" ht="18">
      <c r="P63" s="368"/>
      <c r="Q63" s="369"/>
      <c r="R63" s="370"/>
      <c r="S63" s="370"/>
      <c r="X63" s="370"/>
    </row>
    <row r="64" spans="1:30" ht="18">
      <c r="P64" s="368"/>
      <c r="Q64" s="369"/>
      <c r="R64" s="370"/>
      <c r="S64" s="370"/>
      <c r="X64" s="370"/>
    </row>
    <row r="65" spans="3:27" s="6" customFormat="1" ht="18">
      <c r="C65" s="255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368"/>
      <c r="Q65" s="369"/>
      <c r="R65" s="370"/>
      <c r="S65" s="370"/>
      <c r="T65" s="254"/>
      <c r="U65" s="254"/>
      <c r="V65" s="254"/>
      <c r="W65" s="254"/>
      <c r="X65" s="370"/>
      <c r="Z65" s="254"/>
      <c r="AA65" s="254"/>
    </row>
  </sheetData>
  <mergeCells count="10">
    <mergeCell ref="B52:W52"/>
    <mergeCell ref="B54:W54"/>
    <mergeCell ref="B56:W56"/>
    <mergeCell ref="B58:W58"/>
    <mergeCell ref="B60:W60"/>
    <mergeCell ref="B42:W42"/>
    <mergeCell ref="B44:W44"/>
    <mergeCell ref="B46:W46"/>
    <mergeCell ref="B48:W48"/>
    <mergeCell ref="B50:W50"/>
  </mergeCells>
  <pageMargins left="0.51180555555555496" right="0.51180555555555496" top="0.78749999999999998" bottom="0.78749999999999998" header="0.51180555555555496" footer="0.51180555555555496"/>
  <pageSetup paperSize="9" scale="59" firstPageNumber="0" orientation="landscape" horizontalDpi="300" verticalDpi="300"/>
  <rowBreaks count="1" manualBreakCount="1">
    <brk id="38" max="16383" man="1"/>
  </rowBreak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MK57"/>
  <sheetViews>
    <sheetView showGridLines="0" zoomScaleNormal="100" workbookViewId="0">
      <selection activeCell="D2" sqref="D2"/>
    </sheetView>
  </sheetViews>
  <sheetFormatPr defaultRowHeight="16.5" outlineLevelRow="1"/>
  <cols>
    <col min="1" max="1" width="3.75" style="254" customWidth="1"/>
    <col min="2" max="2" width="48.75" style="254" customWidth="1"/>
    <col min="3" max="3" width="1.5" style="254" customWidth="1"/>
    <col min="4" max="4" width="13.75" style="7" customWidth="1"/>
    <col min="5" max="5" width="1.875" style="7" customWidth="1"/>
    <col min="6" max="6" width="9.25" style="7" customWidth="1"/>
    <col min="7" max="9" width="8.125" style="7" customWidth="1"/>
    <col min="10" max="10" width="1.5" style="254" customWidth="1"/>
    <col min="11" max="11" width="13.75" style="6" customWidth="1"/>
    <col min="12" max="12" width="1.5" style="254" customWidth="1"/>
    <col min="13" max="13" width="10.625" style="7" customWidth="1"/>
    <col min="14" max="14" width="9.875" style="254" customWidth="1"/>
    <col min="15" max="15" width="9.5" style="254" customWidth="1"/>
    <col min="16" max="16" width="9" style="254" customWidth="1"/>
    <col min="17" max="17" width="11.5" style="371"/>
    <col min="18" max="261" width="9" style="254" customWidth="1"/>
    <col min="262" max="262" width="1.5" style="254" customWidth="1"/>
    <col min="263" max="263" width="48.75" style="254" customWidth="1"/>
    <col min="264" max="264" width="11.375" style="254" customWidth="1"/>
    <col min="265" max="265" width="1.5" style="254" customWidth="1"/>
    <col min="266" max="266" width="13.75" style="254" customWidth="1"/>
    <col min="267" max="267" width="2.375" style="254" customWidth="1"/>
    <col min="268" max="268" width="13.75" style="254" customWidth="1"/>
    <col min="269" max="269" width="1.5" style="254" customWidth="1"/>
    <col min="270" max="270" width="9.875" style="254" customWidth="1"/>
    <col min="271" max="271" width="9.5" style="254" customWidth="1"/>
    <col min="272" max="272" width="9" style="254" customWidth="1"/>
    <col min="273" max="273" width="11.5" style="254"/>
    <col min="274" max="517" width="9" style="254" customWidth="1"/>
    <col min="518" max="518" width="1.5" style="254" customWidth="1"/>
    <col min="519" max="519" width="48.75" style="254" customWidth="1"/>
    <col min="520" max="520" width="11.375" style="254" customWidth="1"/>
    <col min="521" max="521" width="1.5" style="254" customWidth="1"/>
    <col min="522" max="522" width="13.75" style="254" customWidth="1"/>
    <col min="523" max="523" width="2.375" style="254" customWidth="1"/>
    <col min="524" max="524" width="13.75" style="254" customWidth="1"/>
    <col min="525" max="525" width="1.5" style="254" customWidth="1"/>
    <col min="526" max="526" width="9.875" style="254" customWidth="1"/>
    <col min="527" max="527" width="9.5" style="254" customWidth="1"/>
    <col min="528" max="528" width="9" style="254" customWidth="1"/>
    <col min="529" max="529" width="11.5" style="254"/>
    <col min="530" max="773" width="9" style="254" customWidth="1"/>
    <col min="774" max="774" width="1.5" style="254" customWidth="1"/>
    <col min="775" max="775" width="48.75" style="254" customWidth="1"/>
    <col min="776" max="776" width="11.375" style="254" customWidth="1"/>
    <col min="777" max="777" width="1.5" style="254" customWidth="1"/>
    <col min="778" max="778" width="13.75" style="254" customWidth="1"/>
    <col min="779" max="779" width="2.375" style="254" customWidth="1"/>
    <col min="780" max="780" width="13.75" style="254" customWidth="1"/>
    <col min="781" max="781" width="1.5" style="254" customWidth="1"/>
    <col min="782" max="782" width="9.875" style="254" customWidth="1"/>
    <col min="783" max="783" width="9.5" style="254" customWidth="1"/>
    <col min="784" max="784" width="9" style="254" customWidth="1"/>
    <col min="785" max="785" width="11.5" style="254"/>
    <col min="786" max="1025" width="9" style="254" customWidth="1"/>
  </cols>
  <sheetData>
    <row r="1" spans="1:20" ht="31.5" customHeight="1">
      <c r="A1" s="257"/>
      <c r="B1" s="258" t="str">
        <f>'BP Rev Analítica'!B1</f>
        <v>CLIENTE XXX S/A</v>
      </c>
      <c r="C1" s="263"/>
      <c r="D1" s="259" t="s">
        <v>1034</v>
      </c>
      <c r="E1" s="260"/>
      <c r="F1" s="260"/>
      <c r="G1" s="260"/>
      <c r="H1" s="260"/>
      <c r="I1" s="260"/>
      <c r="J1" s="260"/>
      <c r="K1" s="260"/>
      <c r="M1" s="262"/>
    </row>
    <row r="2" spans="1:20" ht="16.5" customHeight="1">
      <c r="A2" s="257"/>
      <c r="B2" s="263"/>
      <c r="C2" s="263"/>
      <c r="D2" s="262"/>
      <c r="E2" s="262"/>
      <c r="F2" s="262"/>
      <c r="G2" s="262"/>
      <c r="H2" s="262"/>
      <c r="I2" s="262"/>
      <c r="M2" s="262"/>
    </row>
    <row r="3" spans="1:20" s="258" customFormat="1" ht="18.75" customHeight="1">
      <c r="B3" s="264" t="s">
        <v>1035</v>
      </c>
      <c r="C3" s="264"/>
      <c r="D3" s="23"/>
      <c r="E3" s="23"/>
      <c r="F3" s="23"/>
      <c r="G3" s="23"/>
      <c r="H3" s="23"/>
      <c r="I3" s="23"/>
      <c r="K3" s="23"/>
      <c r="M3" s="23"/>
    </row>
    <row r="4" spans="1:20" s="374" customFormat="1" ht="18.75" customHeight="1">
      <c r="A4" s="372"/>
      <c r="B4" s="269" t="s">
        <v>1036</v>
      </c>
      <c r="C4" s="269"/>
      <c r="D4" s="269"/>
      <c r="E4" s="269"/>
      <c r="F4" s="269"/>
      <c r="G4" s="269"/>
      <c r="H4" s="269"/>
      <c r="I4" s="269"/>
      <c r="J4" s="373"/>
      <c r="K4" s="269"/>
      <c r="L4" s="373"/>
      <c r="M4" s="269"/>
      <c r="N4" s="373"/>
      <c r="O4" s="373"/>
      <c r="P4" s="373"/>
      <c r="Q4" s="373"/>
      <c r="R4" s="373"/>
      <c r="S4" s="373"/>
      <c r="T4" s="373"/>
    </row>
    <row r="5" spans="1:20" s="374" customFormat="1" ht="18" customHeight="1">
      <c r="A5" s="375"/>
      <c r="B5" s="272" t="str">
        <f>'BP Rev Analítica'!B5</f>
        <v>(Em milhares de Reais)</v>
      </c>
      <c r="C5" s="376"/>
      <c r="D5" s="377"/>
      <c r="E5" s="377"/>
      <c r="F5" s="377"/>
      <c r="G5" s="377"/>
      <c r="H5" s="377"/>
      <c r="I5" s="377"/>
      <c r="J5" s="377"/>
      <c r="K5" s="377"/>
      <c r="L5" s="377"/>
      <c r="M5" s="377"/>
      <c r="Q5" s="378"/>
    </row>
    <row r="6" spans="1:20" ht="15" customHeight="1">
      <c r="A6" s="271"/>
      <c r="B6" s="280"/>
      <c r="C6" s="280"/>
      <c r="D6" s="282"/>
      <c r="E6" s="282"/>
      <c r="F6" s="282"/>
      <c r="G6" s="282"/>
      <c r="H6" s="282"/>
      <c r="I6" s="282"/>
      <c r="K6" s="282"/>
      <c r="M6" s="282"/>
    </row>
    <row r="7" spans="1:20" s="384" customFormat="1" ht="15">
      <c r="A7" s="379"/>
      <c r="B7" s="380"/>
      <c r="C7" s="380"/>
      <c r="D7" s="381" t="e">
        <f>'BP Rev Analítica'!D8</f>
        <v>#REF!</v>
      </c>
      <c r="E7" s="382"/>
      <c r="F7" s="383" t="s">
        <v>979</v>
      </c>
      <c r="G7" s="383" t="s">
        <v>980</v>
      </c>
      <c r="H7" s="383" t="s">
        <v>981</v>
      </c>
      <c r="I7" s="383" t="s">
        <v>1018</v>
      </c>
      <c r="K7" s="381" t="e">
        <f>'BP Rev Analítica'!K8</f>
        <v>#REF!</v>
      </c>
      <c r="M7" s="383" t="s">
        <v>981</v>
      </c>
      <c r="Q7" s="385"/>
    </row>
    <row r="8" spans="1:20" hidden="1" outlineLevel="1">
      <c r="A8" s="278"/>
      <c r="B8" s="386" t="e">
        <f>#REF!</f>
        <v>#REF!</v>
      </c>
      <c r="C8" s="386"/>
      <c r="D8" s="125" t="e">
        <f>#REF!</f>
        <v>#REF!</v>
      </c>
      <c r="E8" s="125"/>
      <c r="F8" s="240" t="e">
        <f>D8-K8</f>
        <v>#REF!</v>
      </c>
      <c r="G8" s="241">
        <f>IFERROR(F8/K8,0)</f>
        <v>0</v>
      </c>
      <c r="H8" s="241">
        <f>IFERROR(D8/$D$8,0)</f>
        <v>0</v>
      </c>
      <c r="I8" s="307"/>
      <c r="K8" s="125" t="e">
        <f>#REF!</f>
        <v>#REF!</v>
      </c>
      <c r="M8" s="241">
        <f>IFERROR(K8/$K$8,0)</f>
        <v>0</v>
      </c>
    </row>
    <row r="9" spans="1:20" hidden="1" outlineLevel="1">
      <c r="A9" s="278"/>
      <c r="B9" s="280" t="e">
        <f>#REF!</f>
        <v>#REF!</v>
      </c>
      <c r="C9" s="280"/>
      <c r="D9" s="125" t="e">
        <f>#REF!</f>
        <v>#REF!</v>
      </c>
      <c r="E9" s="125"/>
      <c r="F9" s="240" t="e">
        <f>D9-K9</f>
        <v>#REF!</v>
      </c>
      <c r="G9" s="241">
        <f>IFERROR(F9/K9,0)</f>
        <v>0</v>
      </c>
      <c r="H9" s="241">
        <f>IFERROR(D9/$D$8,0)</f>
        <v>0</v>
      </c>
      <c r="I9" s="332"/>
      <c r="K9" s="125" t="e">
        <f>#REF!</f>
        <v>#REF!</v>
      </c>
      <c r="M9" s="241">
        <f>IFERROR(K9/$K$8,0)</f>
        <v>0</v>
      </c>
      <c r="N9" s="387"/>
    </row>
    <row r="10" spans="1:20" hidden="1" outlineLevel="1">
      <c r="A10" s="278"/>
      <c r="B10" s="280" t="e">
        <f>#REF!</f>
        <v>#REF!</v>
      </c>
      <c r="C10" s="280"/>
      <c r="D10" s="125" t="e">
        <f>#REF!</f>
        <v>#REF!</v>
      </c>
      <c r="E10" s="125"/>
      <c r="F10" s="240" t="e">
        <f>D10-K10</f>
        <v>#REF!</v>
      </c>
      <c r="G10" s="241">
        <f>IFERROR(F10/K10,0)</f>
        <v>0</v>
      </c>
      <c r="H10" s="241">
        <f>IFERROR(D10/$D$8,0)</f>
        <v>0</v>
      </c>
      <c r="I10" s="125"/>
      <c r="K10" s="125" t="e">
        <f>#REF!</f>
        <v>#REF!</v>
      </c>
      <c r="M10" s="241">
        <f>IFERROR(K10/$K$8,0)</f>
        <v>0</v>
      </c>
    </row>
    <row r="11" spans="1:20" ht="15" customHeight="1">
      <c r="A11" s="278"/>
      <c r="B11" s="388" t="e">
        <f>#REF!</f>
        <v>#REF!</v>
      </c>
      <c r="C11" s="388"/>
      <c r="D11" s="389" t="e">
        <f>SUBTOTAL(9,D8:D10)</f>
        <v>#REF!</v>
      </c>
      <c r="E11" s="389"/>
      <c r="F11" s="240" t="e">
        <f>D11-K11</f>
        <v>#REF!</v>
      </c>
      <c r="G11" s="241">
        <f>IFERROR(F11/K11,0)</f>
        <v>0</v>
      </c>
      <c r="H11" s="241">
        <f>IFERROR(D11/$D$8,0)</f>
        <v>0</v>
      </c>
      <c r="I11" s="390" t="str">
        <f>$A$39</f>
        <v>A</v>
      </c>
      <c r="K11" s="389" t="e">
        <f>SUBTOTAL(9,K8:K10)</f>
        <v>#REF!</v>
      </c>
      <c r="M11" s="241">
        <f>IFERROR(K11/$K$8,0)</f>
        <v>0</v>
      </c>
      <c r="N11" s="387"/>
    </row>
    <row r="12" spans="1:20" ht="15" customHeight="1">
      <c r="A12" s="278"/>
      <c r="B12" s="280"/>
      <c r="C12" s="280"/>
      <c r="D12" s="125"/>
      <c r="E12" s="125"/>
      <c r="F12" s="125"/>
      <c r="G12" s="125"/>
      <c r="H12" s="125"/>
      <c r="I12" s="390"/>
      <c r="K12" s="125"/>
      <c r="M12" s="125"/>
    </row>
    <row r="13" spans="1:20" ht="15" customHeight="1">
      <c r="A13" s="278"/>
      <c r="B13" s="280" t="e">
        <f>#REF!</f>
        <v>#REF!</v>
      </c>
      <c r="C13" s="280"/>
      <c r="D13" s="125" t="e">
        <f>#REF!</f>
        <v>#REF!</v>
      </c>
      <c r="E13" s="125"/>
      <c r="F13" s="240" t="e">
        <f>D13-K13</f>
        <v>#REF!</v>
      </c>
      <c r="G13" s="241">
        <f>IFERROR(F13/K13,0)</f>
        <v>0</v>
      </c>
      <c r="H13" s="241">
        <f>IFERROR(D13/$D$8,0)</f>
        <v>0</v>
      </c>
      <c r="I13" s="390" t="str">
        <f>$A$39</f>
        <v>A</v>
      </c>
      <c r="K13" s="125" t="e">
        <f>#REF!</f>
        <v>#REF!</v>
      </c>
      <c r="M13" s="241">
        <f>IFERROR(K13/$K$8,0)</f>
        <v>0</v>
      </c>
      <c r="O13" s="387"/>
    </row>
    <row r="14" spans="1:20" ht="15" customHeight="1">
      <c r="A14" s="278"/>
      <c r="B14" s="388" t="e">
        <f>#REF!</f>
        <v>#REF!</v>
      </c>
      <c r="C14" s="388"/>
      <c r="D14" s="391" t="e">
        <f>SUBTOTAL(9,D8:D13)</f>
        <v>#REF!</v>
      </c>
      <c r="E14" s="389"/>
      <c r="F14" s="240" t="e">
        <f>D14-K14</f>
        <v>#REF!</v>
      </c>
      <c r="G14" s="241">
        <f>IFERROR(F14/K14,0)</f>
        <v>0</v>
      </c>
      <c r="H14" s="241">
        <f>IFERROR(D14/$D$8,0)</f>
        <v>0</v>
      </c>
      <c r="I14" s="390"/>
      <c r="K14" s="391" t="e">
        <f>SUBTOTAL(9,K8:K13)</f>
        <v>#REF!</v>
      </c>
      <c r="M14" s="241">
        <f>IFERROR(K14/$K$8,0)</f>
        <v>0</v>
      </c>
    </row>
    <row r="15" spans="1:20" ht="15" customHeight="1">
      <c r="A15" s="278"/>
      <c r="B15" s="392"/>
      <c r="C15" s="392"/>
      <c r="D15" s="389"/>
      <c r="E15" s="389"/>
      <c r="F15" s="389"/>
      <c r="G15" s="389"/>
      <c r="H15" s="389"/>
      <c r="I15" s="390"/>
      <c r="K15" s="389"/>
      <c r="M15" s="389"/>
    </row>
    <row r="16" spans="1:20" ht="15" customHeight="1">
      <c r="A16" s="278"/>
      <c r="B16" s="388" t="e">
        <f>#REF!</f>
        <v>#REF!</v>
      </c>
      <c r="C16" s="280"/>
      <c r="D16" s="125"/>
      <c r="E16" s="125"/>
      <c r="F16" s="125"/>
      <c r="G16" s="125"/>
      <c r="H16" s="125"/>
      <c r="I16" s="390"/>
      <c r="K16" s="125"/>
      <c r="M16" s="125"/>
    </row>
    <row r="17" spans="1:14" ht="15" customHeight="1">
      <c r="A17" s="278"/>
      <c r="B17" s="280" t="e">
        <f>#REF!</f>
        <v>#REF!</v>
      </c>
      <c r="C17" s="280"/>
      <c r="D17" s="125" t="e">
        <f>#REF!</f>
        <v>#REF!</v>
      </c>
      <c r="E17" s="125"/>
      <c r="F17" s="240" t="e">
        <f>D17-K17</f>
        <v>#REF!</v>
      </c>
      <c r="G17" s="241">
        <f>IFERROR(F17/K17,0)</f>
        <v>0</v>
      </c>
      <c r="H17" s="241">
        <f>IFERROR(D17/$D$8,0)</f>
        <v>0</v>
      </c>
      <c r="I17" s="393" t="str">
        <f>$A$43</f>
        <v>C</v>
      </c>
      <c r="K17" s="125" t="e">
        <f>#REF!</f>
        <v>#REF!</v>
      </c>
      <c r="M17" s="241">
        <f>IFERROR(K17/$K$8,0)</f>
        <v>0</v>
      </c>
    </row>
    <row r="18" spans="1:14" ht="15" customHeight="1">
      <c r="A18" s="278"/>
      <c r="B18" s="386" t="e">
        <f>#REF!</f>
        <v>#REF!</v>
      </c>
      <c r="C18" s="386"/>
      <c r="D18" s="125" t="e">
        <f>#REF!</f>
        <v>#REF!</v>
      </c>
      <c r="E18" s="394"/>
      <c r="F18" s="240" t="e">
        <f>D18-K18</f>
        <v>#REF!</v>
      </c>
      <c r="G18" s="241">
        <f>IFERROR(F18/K18,0)</f>
        <v>0</v>
      </c>
      <c r="H18" s="241">
        <f>IFERROR(D18/$D$8,0)</f>
        <v>0</v>
      </c>
      <c r="I18" s="390" t="str">
        <f>$A$41</f>
        <v>B</v>
      </c>
      <c r="K18" s="125" t="e">
        <f>#REF!</f>
        <v>#REF!</v>
      </c>
      <c r="M18" s="241">
        <f>IFERROR(K18/$K$8,0)</f>
        <v>0</v>
      </c>
    </row>
    <row r="19" spans="1:14" ht="15" customHeight="1">
      <c r="A19" s="278"/>
      <c r="B19" s="388" t="s">
        <v>1037</v>
      </c>
      <c r="C19" s="388"/>
      <c r="D19" s="391" t="e">
        <f>SUBTOTAL(9,D8:D18)</f>
        <v>#REF!</v>
      </c>
      <c r="E19" s="389"/>
      <c r="F19" s="240" t="e">
        <f>D19-K19</f>
        <v>#REF!</v>
      </c>
      <c r="G19" s="241">
        <f>IFERROR(F19/K19,0)</f>
        <v>0</v>
      </c>
      <c r="H19" s="241">
        <f>IFERROR(D19/$D$8,0)</f>
        <v>0</v>
      </c>
      <c r="I19" s="390"/>
      <c r="K19" s="391" t="e">
        <f>SUBTOTAL(9,K8:K18)</f>
        <v>#REF!</v>
      </c>
      <c r="M19" s="241">
        <f>IFERROR(K19/$K$8,0)</f>
        <v>0</v>
      </c>
    </row>
    <row r="20" spans="1:14" ht="15" customHeight="1">
      <c r="A20" s="278"/>
      <c r="B20" s="392"/>
      <c r="C20" s="392"/>
      <c r="D20" s="389"/>
      <c r="E20" s="389"/>
      <c r="F20" s="389"/>
      <c r="G20" s="389"/>
      <c r="H20" s="389"/>
      <c r="I20" s="390"/>
      <c r="K20" s="389"/>
      <c r="M20" s="389"/>
    </row>
    <row r="21" spans="1:14" ht="15" customHeight="1">
      <c r="A21" s="278"/>
      <c r="B21" s="386" t="e">
        <f>#REF!</f>
        <v>#REF!</v>
      </c>
      <c r="C21" s="386"/>
      <c r="D21" s="125" t="e">
        <f>#REF!</f>
        <v>#REF!</v>
      </c>
      <c r="E21" s="395"/>
      <c r="F21" s="240" t="e">
        <f>D21-K21</f>
        <v>#REF!</v>
      </c>
      <c r="G21" s="241">
        <f>IFERROR(F21/K21,0)</f>
        <v>0</v>
      </c>
      <c r="H21" s="241">
        <f>IFERROR(D21/$D$8,0)</f>
        <v>0</v>
      </c>
      <c r="I21" s="393" t="str">
        <f>$A$45</f>
        <v>D</v>
      </c>
      <c r="K21" s="125" t="e">
        <f>#REF!</f>
        <v>#REF!</v>
      </c>
      <c r="M21" s="241">
        <f>IFERROR(K21/$K$8,0)</f>
        <v>0</v>
      </c>
    </row>
    <row r="22" spans="1:14" ht="15" customHeight="1">
      <c r="A22" s="278"/>
      <c r="B22" s="386" t="e">
        <f>#REF!</f>
        <v>#REF!</v>
      </c>
      <c r="C22" s="386"/>
      <c r="D22" s="396" t="e">
        <f>#REF!</f>
        <v>#REF!</v>
      </c>
      <c r="E22" s="395"/>
      <c r="F22" s="240" t="e">
        <f>D22-K22</f>
        <v>#REF!</v>
      </c>
      <c r="G22" s="241">
        <f>IFERROR(F22/K22,0)</f>
        <v>0</v>
      </c>
      <c r="H22" s="241">
        <f>IFERROR(D22/$D$8,0)</f>
        <v>0</v>
      </c>
      <c r="I22" s="390" t="str">
        <f>$A$41</f>
        <v>B</v>
      </c>
      <c r="K22" s="396" t="e">
        <f>#REF!</f>
        <v>#REF!</v>
      </c>
      <c r="M22" s="241">
        <f>IFERROR(K22/$K$8,0)</f>
        <v>0</v>
      </c>
    </row>
    <row r="23" spans="1:14" ht="15" customHeight="1">
      <c r="A23" s="278"/>
      <c r="B23" s="397" t="s">
        <v>116</v>
      </c>
      <c r="C23" s="392"/>
      <c r="D23" s="391" t="e">
        <f>SUBTOTAL(9,D21:D22)</f>
        <v>#REF!</v>
      </c>
      <c r="E23" s="389"/>
      <c r="F23" s="240" t="e">
        <f>D23-K23</f>
        <v>#REF!</v>
      </c>
      <c r="G23" s="241">
        <f>IFERROR(F23/K23,0)</f>
        <v>0</v>
      </c>
      <c r="H23" s="241">
        <f>IFERROR(D23/$D$8,0)</f>
        <v>0</v>
      </c>
      <c r="I23" s="390"/>
      <c r="K23" s="391" t="e">
        <f>SUBTOTAL(9,K21:K22)</f>
        <v>#REF!</v>
      </c>
      <c r="M23" s="241">
        <f>IFERROR(K23/$K$8,0)</f>
        <v>0</v>
      </c>
    </row>
    <row r="24" spans="1:14" ht="15" customHeight="1">
      <c r="A24" s="278"/>
      <c r="B24" s="392"/>
      <c r="C24" s="392"/>
      <c r="D24" s="389"/>
      <c r="E24" s="389"/>
      <c r="F24" s="389"/>
      <c r="G24" s="389"/>
      <c r="H24" s="389"/>
      <c r="I24" s="390"/>
      <c r="K24" s="389"/>
      <c r="M24" s="389"/>
    </row>
    <row r="25" spans="1:14" s="254" customFormat="1" ht="15">
      <c r="A25" s="278"/>
      <c r="B25" s="388" t="s">
        <v>1038</v>
      </c>
      <c r="D25" s="398" t="e">
        <f>D19+D23</f>
        <v>#REF!</v>
      </c>
      <c r="E25" s="399"/>
      <c r="I25" s="390"/>
      <c r="K25" s="398" t="e">
        <f>F19+F23</f>
        <v>#REF!</v>
      </c>
    </row>
    <row r="26" spans="1:14" ht="15" customHeight="1">
      <c r="A26" s="278"/>
      <c r="B26" s="392"/>
      <c r="C26" s="392"/>
      <c r="D26" s="389"/>
      <c r="E26" s="389"/>
      <c r="F26" s="389"/>
      <c r="G26" s="389"/>
      <c r="H26" s="389"/>
      <c r="I26" s="390"/>
      <c r="K26" s="389"/>
      <c r="M26" s="389"/>
    </row>
    <row r="27" spans="1:14" ht="15" customHeight="1">
      <c r="A27" s="278"/>
      <c r="B27" s="386" t="e">
        <f>#REF!</f>
        <v>#REF!</v>
      </c>
      <c r="C27" s="386"/>
      <c r="D27" s="400" t="e">
        <f>#REF!</f>
        <v>#REF!</v>
      </c>
      <c r="E27" s="400"/>
      <c r="F27" s="240" t="e">
        <f>D27-K27</f>
        <v>#REF!</v>
      </c>
      <c r="G27" s="241">
        <f>IFERROR(F27/K27,0)</f>
        <v>0</v>
      </c>
      <c r="H27" s="241">
        <f>IFERROR(D27/$D$8,0)</f>
        <v>0</v>
      </c>
      <c r="I27" s="390" t="str">
        <f>$A$41</f>
        <v>B</v>
      </c>
      <c r="K27" s="400" t="e">
        <f>#REF!</f>
        <v>#REF!</v>
      </c>
      <c r="M27" s="241">
        <f>IFERROR(K27/$K$8,0)</f>
        <v>0</v>
      </c>
    </row>
    <row r="28" spans="1:14" ht="15" customHeight="1">
      <c r="A28" s="278"/>
      <c r="B28" s="386" t="e">
        <f>#REF!</f>
        <v>#REF!</v>
      </c>
      <c r="C28" s="386"/>
      <c r="D28" s="400" t="e">
        <f>#REF!</f>
        <v>#REF!</v>
      </c>
      <c r="E28" s="400"/>
      <c r="F28" s="240" t="e">
        <f>D28-K28</f>
        <v>#REF!</v>
      </c>
      <c r="G28" s="241">
        <f>IFERROR(F28/K28,0)</f>
        <v>0</v>
      </c>
      <c r="H28" s="241">
        <f>IFERROR(D28/$D$8,0)</f>
        <v>0</v>
      </c>
      <c r="I28" s="390" t="str">
        <f>$A$41</f>
        <v>B</v>
      </c>
      <c r="K28" s="400" t="e">
        <f>#REF!</f>
        <v>#REF!</v>
      </c>
      <c r="M28" s="241">
        <f>IFERROR(K28/$K$8,0)</f>
        <v>0</v>
      </c>
    </row>
    <row r="29" spans="1:14" ht="15" customHeight="1">
      <c r="A29" s="278"/>
      <c r="B29" s="386" t="e">
        <f>#REF!</f>
        <v>#REF!</v>
      </c>
      <c r="C29" s="386"/>
      <c r="D29" s="400" t="e">
        <f>#REF!</f>
        <v>#REF!</v>
      </c>
      <c r="E29" s="400"/>
      <c r="F29" s="240" t="e">
        <f>D29-K29</f>
        <v>#REF!</v>
      </c>
      <c r="G29" s="241">
        <f>IFERROR(F29/K29,0)</f>
        <v>0</v>
      </c>
      <c r="H29" s="241">
        <f>IFERROR(D29/$D$8,0)</f>
        <v>0</v>
      </c>
      <c r="I29" s="390" t="str">
        <f>$A$41</f>
        <v>B</v>
      </c>
      <c r="K29" s="400" t="e">
        <f>#REF!</f>
        <v>#REF!</v>
      </c>
      <c r="M29" s="241">
        <f>IFERROR(K29/$K$8,0)</f>
        <v>0</v>
      </c>
    </row>
    <row r="30" spans="1:14" ht="15" customHeight="1">
      <c r="B30" s="388" t="e">
        <f>#REF!</f>
        <v>#REF!</v>
      </c>
      <c r="C30" s="388"/>
      <c r="D30" s="401" t="e">
        <f>SUM(D25:D29)</f>
        <v>#REF!</v>
      </c>
      <c r="E30" s="254"/>
      <c r="F30" s="240" t="e">
        <f>D30-K30</f>
        <v>#REF!</v>
      </c>
      <c r="G30" s="241">
        <f>IFERROR(F30/K30,0)</f>
        <v>0</v>
      </c>
      <c r="H30" s="241">
        <f>IFERROR(D30/$D$8,0)</f>
        <v>0</v>
      </c>
      <c r="I30" s="390"/>
      <c r="K30" s="401" t="e">
        <f>SUM(K25:K29)</f>
        <v>#REF!</v>
      </c>
      <c r="M30" s="241">
        <f>IFERROR(K30/$K$8,0)</f>
        <v>0</v>
      </c>
      <c r="N30" s="387"/>
    </row>
    <row r="31" spans="1:14" ht="15" customHeight="1">
      <c r="B31" s="388"/>
      <c r="C31" s="388"/>
      <c r="D31" s="389"/>
      <c r="E31" s="389"/>
      <c r="F31" s="389"/>
      <c r="G31" s="389"/>
      <c r="H31" s="389"/>
      <c r="I31" s="390"/>
      <c r="K31" s="389"/>
      <c r="M31" s="389"/>
      <c r="N31" s="387"/>
    </row>
    <row r="32" spans="1:14" ht="15" customHeight="1">
      <c r="B32" s="388" t="e">
        <f>#REF!</f>
        <v>#REF!</v>
      </c>
      <c r="C32" s="388"/>
      <c r="D32" s="402" t="e">
        <f>#REF!</f>
        <v>#REF!</v>
      </c>
      <c r="E32" s="403"/>
      <c r="F32" s="403"/>
      <c r="G32" s="403"/>
      <c r="H32" s="403"/>
      <c r="I32" s="390"/>
      <c r="K32" s="402" t="e">
        <f>#REF!</f>
        <v>#REF!</v>
      </c>
      <c r="M32" s="403"/>
      <c r="N32" s="387"/>
    </row>
    <row r="33" spans="1:22" ht="15" hidden="1" customHeight="1">
      <c r="B33" s="388"/>
      <c r="C33" s="388"/>
      <c r="D33" s="389"/>
      <c r="E33" s="389"/>
      <c r="F33" s="389"/>
      <c r="G33" s="389"/>
      <c r="H33" s="389"/>
      <c r="I33" s="389"/>
      <c r="K33" s="389"/>
      <c r="M33" s="389"/>
      <c r="N33" s="387"/>
    </row>
    <row r="34" spans="1:22" ht="15" customHeight="1">
      <c r="D34" s="404"/>
      <c r="E34" s="404"/>
      <c r="F34" s="404"/>
      <c r="G34" s="404"/>
      <c r="H34" s="404"/>
      <c r="I34" s="404"/>
      <c r="J34" s="405"/>
      <c r="K34" s="404"/>
      <c r="L34" s="405"/>
      <c r="M34" s="404"/>
      <c r="N34" s="405"/>
      <c r="O34" s="405"/>
      <c r="P34" s="405"/>
      <c r="R34" s="405"/>
    </row>
    <row r="35" spans="1:22" ht="15" customHeight="1">
      <c r="B35" s="406" t="s">
        <v>1023</v>
      </c>
      <c r="C35" s="406"/>
      <c r="D35" s="407"/>
      <c r="E35" s="408"/>
      <c r="F35" s="408"/>
      <c r="G35" s="408"/>
      <c r="H35" s="408"/>
      <c r="I35" s="408"/>
      <c r="J35" s="408"/>
      <c r="K35" s="409"/>
      <c r="L35" s="408"/>
      <c r="M35" s="408"/>
    </row>
    <row r="36" spans="1:22" s="6" customFormat="1" ht="15" customHeight="1">
      <c r="E36" s="410"/>
      <c r="F36" s="410"/>
      <c r="G36" s="410"/>
      <c r="H36" s="410"/>
      <c r="I36" s="410"/>
      <c r="J36" s="254"/>
      <c r="L36" s="254"/>
      <c r="M36" s="410"/>
      <c r="N36" s="254"/>
      <c r="O36" s="254"/>
      <c r="P36" s="254"/>
      <c r="Q36" s="371"/>
    </row>
    <row r="37" spans="1:22" s="6" customFormat="1" ht="30">
      <c r="A37" s="304"/>
      <c r="B37" s="352" t="s">
        <v>1024</v>
      </c>
      <c r="C37" s="351"/>
      <c r="D37" s="351"/>
      <c r="E37" s="351"/>
      <c r="F37" s="351"/>
      <c r="G37" s="351"/>
      <c r="H37" s="351"/>
      <c r="I37" s="351"/>
      <c r="J37" s="351"/>
      <c r="K37" s="353" t="s">
        <v>1025</v>
      </c>
      <c r="L37" s="351"/>
      <c r="M37" s="354" t="s">
        <v>1026</v>
      </c>
      <c r="N37" s="304"/>
      <c r="O37" s="291"/>
      <c r="P37" s="341"/>
      <c r="Q37" s="324"/>
      <c r="R37" s="324"/>
      <c r="S37" s="351"/>
      <c r="T37" s="351"/>
      <c r="U37" s="351"/>
      <c r="V37" s="351"/>
    </row>
    <row r="38" spans="1:22">
      <c r="A38" s="304"/>
      <c r="B38" s="304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04"/>
      <c r="N38" s="304"/>
      <c r="O38" s="291"/>
      <c r="P38" s="341"/>
      <c r="Q38" s="324"/>
      <c r="R38" s="324"/>
      <c r="S38" s="351"/>
      <c r="T38" s="351"/>
      <c r="U38" s="351"/>
      <c r="V38" s="351"/>
    </row>
    <row r="39" spans="1:22" s="254" customFormat="1" ht="52.5" customHeight="1">
      <c r="A39" s="355" t="s">
        <v>140</v>
      </c>
      <c r="B39" s="1" t="s">
        <v>1039</v>
      </c>
      <c r="C39" s="1"/>
      <c r="D39" s="1"/>
      <c r="E39" s="1"/>
      <c r="F39" s="1"/>
      <c r="G39" s="1"/>
      <c r="H39" s="1"/>
      <c r="I39" s="1"/>
      <c r="M39" s="356" t="s">
        <v>1028</v>
      </c>
    </row>
    <row r="40" spans="1:22" s="254" customFormat="1" ht="15">
      <c r="A40" s="357"/>
    </row>
    <row r="41" spans="1:22" ht="30" customHeight="1">
      <c r="A41" s="355" t="s">
        <v>161</v>
      </c>
      <c r="B41" s="1" t="s">
        <v>1027</v>
      </c>
      <c r="C41" s="1"/>
      <c r="D41" s="1"/>
      <c r="E41" s="1"/>
      <c r="F41" s="1"/>
      <c r="G41" s="1"/>
      <c r="H41" s="1"/>
      <c r="I41" s="1"/>
      <c r="M41" s="356" t="s">
        <v>1028</v>
      </c>
    </row>
    <row r="42" spans="1:22">
      <c r="A42" s="362"/>
    </row>
    <row r="43" spans="1:22" ht="30">
      <c r="A43" s="355" t="s">
        <v>172</v>
      </c>
      <c r="B43" s="1"/>
      <c r="C43" s="1"/>
      <c r="D43" s="1"/>
      <c r="E43" s="1"/>
      <c r="F43" s="1"/>
      <c r="G43" s="1"/>
      <c r="H43" s="1"/>
      <c r="I43" s="1"/>
      <c r="M43" s="356" t="s">
        <v>1028</v>
      </c>
    </row>
    <row r="44" spans="1:22">
      <c r="A44" s="362"/>
    </row>
    <row r="45" spans="1:22" ht="30">
      <c r="A45" s="355" t="s">
        <v>216</v>
      </c>
      <c r="B45" s="1"/>
      <c r="C45" s="1"/>
      <c r="D45" s="1"/>
      <c r="E45" s="1"/>
      <c r="F45" s="1"/>
      <c r="G45" s="1"/>
      <c r="H45" s="1"/>
      <c r="I45" s="1"/>
      <c r="M45" s="356" t="s">
        <v>1028</v>
      </c>
    </row>
    <row r="46" spans="1:22">
      <c r="A46" s="362"/>
    </row>
    <row r="47" spans="1:22">
      <c r="A47" s="355" t="s">
        <v>252</v>
      </c>
      <c r="B47" s="1"/>
      <c r="C47" s="1"/>
      <c r="D47" s="1"/>
      <c r="E47" s="1"/>
      <c r="F47" s="1"/>
      <c r="G47" s="1"/>
      <c r="H47" s="1"/>
      <c r="I47" s="1"/>
    </row>
    <row r="48" spans="1:22">
      <c r="A48" s="362"/>
    </row>
    <row r="49" spans="1:9">
      <c r="A49" s="355" t="s">
        <v>221</v>
      </c>
      <c r="B49" s="1"/>
      <c r="C49" s="1"/>
      <c r="D49" s="1"/>
      <c r="E49" s="1"/>
      <c r="F49" s="1"/>
      <c r="G49" s="1"/>
      <c r="H49" s="1"/>
      <c r="I49" s="1"/>
    </row>
    <row r="50" spans="1:9">
      <c r="A50" s="362"/>
    </row>
    <row r="51" spans="1:9">
      <c r="A51" s="355" t="s">
        <v>263</v>
      </c>
      <c r="B51" s="1"/>
      <c r="C51" s="1"/>
      <c r="D51" s="1"/>
      <c r="E51" s="1"/>
      <c r="F51" s="1"/>
      <c r="G51" s="1"/>
      <c r="H51" s="1"/>
      <c r="I51" s="1"/>
    </row>
    <row r="53" spans="1:9">
      <c r="A53" s="355" t="s">
        <v>1032</v>
      </c>
      <c r="B53" s="1"/>
      <c r="C53" s="1"/>
      <c r="D53" s="1"/>
      <c r="E53" s="1"/>
      <c r="F53" s="1"/>
      <c r="G53" s="1"/>
      <c r="H53" s="1"/>
      <c r="I53" s="1"/>
    </row>
    <row r="55" spans="1:9">
      <c r="A55" s="355" t="s">
        <v>1033</v>
      </c>
      <c r="B55" s="1"/>
      <c r="C55" s="1"/>
      <c r="D55" s="1"/>
      <c r="E55" s="1"/>
      <c r="F55" s="1"/>
      <c r="G55" s="1"/>
      <c r="H55" s="1"/>
      <c r="I55" s="1"/>
    </row>
    <row r="57" spans="1:9">
      <c r="A57" s="355" t="s">
        <v>290</v>
      </c>
      <c r="B57" s="1"/>
      <c r="C57" s="1"/>
      <c r="D57" s="1"/>
      <c r="E57" s="1"/>
      <c r="F57" s="1"/>
      <c r="G57" s="1"/>
      <c r="H57" s="1"/>
      <c r="I57" s="1"/>
    </row>
  </sheetData>
  <mergeCells count="10">
    <mergeCell ref="B49:I49"/>
    <mergeCell ref="B51:I51"/>
    <mergeCell ref="B53:I53"/>
    <mergeCell ref="B55:I55"/>
    <mergeCell ref="B57:I57"/>
    <mergeCell ref="B39:I39"/>
    <mergeCell ref="B41:I41"/>
    <mergeCell ref="B43:I43"/>
    <mergeCell ref="B45:I45"/>
    <mergeCell ref="B47:I47"/>
  </mergeCells>
  <pageMargins left="0.51180555555555496" right="0.51180555555555496" top="0.78749999999999998" bottom="0.78749999999999998" header="0.51180555555555496" footer="0.51180555555555496"/>
  <pageSetup paperSize="9" scale="63" firstPageNumber="0" orientation="portrait" horizontalDpi="300" verticalDpi="300"/>
  <colBreaks count="1" manualBreakCount="1">
    <brk id="13" max="1048575" man="1"/>
  </colBreaks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6.5"/>
  <cols>
    <col min="1" max="1025" width="8.6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</vt:i4>
      </vt:variant>
    </vt:vector>
  </HeadingPairs>
  <TitlesOfParts>
    <vt:vector size="20" baseType="lpstr">
      <vt:lpstr>Orçamento 2020</vt:lpstr>
      <vt:lpstr>Base</vt:lpstr>
      <vt:lpstr>Mapa DFC</vt:lpstr>
      <vt:lpstr>Notas explicativas</vt:lpstr>
      <vt:lpstr>BP Rev Analítica</vt:lpstr>
      <vt:lpstr>DRE Rev Analítica</vt:lpstr>
      <vt:lpstr>Plan1</vt:lpstr>
      <vt:lpstr>Base!_FilterDatabase_0</vt:lpstr>
      <vt:lpstr>Base!_FilterDatabase_0_0</vt:lpstr>
      <vt:lpstr>Base!_FiltrarBancodeDados</vt:lpstr>
      <vt:lpstr>'BP Rev Analítica'!Area_de_impressao</vt:lpstr>
      <vt:lpstr>'DRE Rev Analítica'!Area_de_impressao</vt:lpstr>
      <vt:lpstr>'BP Rev Analítica'!Print_Area_0</vt:lpstr>
      <vt:lpstr>'DRE Rev Analítica'!Print_Area_0</vt:lpstr>
      <vt:lpstr>'BP Rev Analítica'!Print_Area_0_0</vt:lpstr>
      <vt:lpstr>'DRE Rev Analítica'!Print_Area_0_0</vt:lpstr>
      <vt:lpstr>'Orçamento 2020'!Print_Area_0_0</vt:lpstr>
      <vt:lpstr>'Orçamento 2020'!Print_Titles_0</vt:lpstr>
      <vt:lpstr>'Orçamento 2020'!Print_Titles_0_0</vt:lpstr>
      <vt:lpstr>'Orçamento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Amarante</dc:creator>
  <dc:description/>
  <cp:lastModifiedBy>Marcos Henrique de Carvalho Almeida</cp:lastModifiedBy>
  <cp:revision>41</cp:revision>
  <cp:lastPrinted>2019-12-12T17:20:05Z</cp:lastPrinted>
  <dcterms:created xsi:type="dcterms:W3CDTF">2013-08-14T20:39:51Z</dcterms:created>
  <dcterms:modified xsi:type="dcterms:W3CDTF">2020-09-16T12:40:07Z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0x010100D437A0BB25D6484E987503396667773E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dlc_DocIdItemGuid">
    <vt:lpwstr>9360f760-463f-4754-ab00-eaebca08a49c</vt:lpwstr>
  </property>
</Properties>
</file>